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20" activeTab="1"/>
  </bookViews>
  <sheets>
    <sheet name="7-11" sheetId="1" r:id="rId1"/>
    <sheet name="12-18" sheetId="4" r:id="rId2"/>
  </sheets>
  <definedNames>
    <definedName name="_xlnm.Print_Area" localSheetId="1">'12-18'!$A$1:$P$190</definedName>
    <definedName name="_xlnm.Print_Area" localSheetId="0">'7-11'!$A$1:$P$192</definedName>
  </definedNames>
  <calcPr calcId="191029"/>
</workbook>
</file>

<file path=xl/calcChain.xml><?xml version="1.0" encoding="utf-8"?>
<calcChain xmlns="http://schemas.openxmlformats.org/spreadsheetml/2006/main">
  <c r="I134" i="1" l="1"/>
  <c r="I142" i="4"/>
  <c r="I153" i="4" s="1"/>
  <c r="H142" i="4"/>
  <c r="I100" i="4"/>
  <c r="K82" i="4"/>
  <c r="J82" i="4"/>
  <c r="I82" i="4"/>
  <c r="I55" i="4"/>
  <c r="G92" i="4"/>
  <c r="E92" i="4"/>
  <c r="G68" i="4"/>
  <c r="G72" i="4" s="1"/>
  <c r="E184" i="4"/>
  <c r="H179" i="4"/>
  <c r="E179" i="4"/>
  <c r="G175" i="4"/>
  <c r="G179" i="4" s="1"/>
  <c r="F175" i="4"/>
  <c r="F179" i="4" s="1"/>
  <c r="G166" i="4"/>
  <c r="F166" i="4"/>
  <c r="G165" i="4"/>
  <c r="H153" i="4"/>
  <c r="H152" i="4"/>
  <c r="F146" i="4"/>
  <c r="F152" i="4" s="1"/>
  <c r="G146" i="4"/>
  <c r="G152" i="4" s="1"/>
  <c r="G138" i="4"/>
  <c r="F138" i="4"/>
  <c r="F142" i="4" s="1"/>
  <c r="F153" i="4" s="1"/>
  <c r="E138" i="4"/>
  <c r="G128" i="4"/>
  <c r="F128" i="4"/>
  <c r="E128" i="4"/>
  <c r="G121" i="4"/>
  <c r="F121" i="4"/>
  <c r="E121" i="4"/>
  <c r="O112" i="4"/>
  <c r="N112" i="4"/>
  <c r="M112" i="4"/>
  <c r="K112" i="4"/>
  <c r="J112" i="4"/>
  <c r="I112" i="4"/>
  <c r="G112" i="4"/>
  <c r="G59" i="4"/>
  <c r="I59" i="4"/>
  <c r="J59" i="4"/>
  <c r="K59" i="4"/>
  <c r="M59" i="4"/>
  <c r="N59" i="4"/>
  <c r="O59" i="4"/>
  <c r="E33" i="4"/>
  <c r="D37" i="4"/>
  <c r="G86" i="4"/>
  <c r="G90" i="4" s="1"/>
  <c r="F86" i="4"/>
  <c r="F90" i="4" s="1"/>
  <c r="E90" i="4"/>
  <c r="H90" i="4"/>
  <c r="G76" i="4"/>
  <c r="G82" i="4" s="1"/>
  <c r="H82" i="4"/>
  <c r="F82" i="4"/>
  <c r="E82" i="4"/>
  <c r="F72" i="4"/>
  <c r="E72" i="4"/>
  <c r="G57" i="4"/>
  <c r="F57" i="4"/>
  <c r="E57" i="4"/>
  <c r="G55" i="4"/>
  <c r="F51" i="4"/>
  <c r="F55" i="4" s="1"/>
  <c r="O53" i="4"/>
  <c r="M53" i="4"/>
  <c r="L53" i="4"/>
  <c r="K53" i="4"/>
  <c r="J53" i="4"/>
  <c r="I53" i="4"/>
  <c r="H53" i="4"/>
  <c r="H55" i="4" s="1"/>
  <c r="E53" i="4"/>
  <c r="G183" i="4"/>
  <c r="E183" i="4"/>
  <c r="G94" i="4"/>
  <c r="G100" i="4" s="1"/>
  <c r="E94" i="4"/>
  <c r="G41" i="4"/>
  <c r="E42" i="4"/>
  <c r="E41" i="4"/>
  <c r="E29" i="4"/>
  <c r="G29" i="4"/>
  <c r="F24" i="4"/>
  <c r="F29" i="4" s="1"/>
  <c r="G19" i="4"/>
  <c r="F19" i="4"/>
  <c r="E19" i="4"/>
  <c r="E100" i="4" l="1"/>
  <c r="O179" i="4"/>
  <c r="N179" i="4"/>
  <c r="M179" i="4"/>
  <c r="L179" i="4"/>
  <c r="K179" i="4"/>
  <c r="J179" i="4"/>
  <c r="I179" i="4"/>
  <c r="D179" i="4"/>
  <c r="H161" i="4"/>
  <c r="G161" i="4"/>
  <c r="E152" i="4"/>
  <c r="E55" i="4"/>
  <c r="M178" i="1"/>
  <c r="G178" i="1"/>
  <c r="F178" i="1"/>
  <c r="D178" i="1"/>
  <c r="N177" i="1"/>
  <c r="N178" i="1" s="1"/>
  <c r="L177" i="1"/>
  <c r="L178" i="1" s="1"/>
  <c r="K177" i="1"/>
  <c r="K178" i="1" s="1"/>
  <c r="J177" i="1"/>
  <c r="J178" i="1" s="1"/>
  <c r="I177" i="1"/>
  <c r="H177" i="1"/>
  <c r="H178" i="1" s="1"/>
  <c r="E177" i="1"/>
  <c r="E178" i="1" s="1"/>
  <c r="O176" i="1"/>
  <c r="O174" i="1"/>
  <c r="O178" i="1" s="1"/>
  <c r="I174" i="1"/>
  <c r="I178" i="1" s="1"/>
  <c r="H51" i="1" l="1"/>
  <c r="O31" i="1"/>
  <c r="E51" i="1"/>
  <c r="E27" i="1"/>
  <c r="F98" i="1" l="1"/>
  <c r="D190" i="4" l="1"/>
  <c r="H189" i="4"/>
  <c r="G189" i="4"/>
  <c r="F189" i="4"/>
  <c r="F190" i="4" s="1"/>
  <c r="E189" i="4"/>
  <c r="F171" i="4"/>
  <c r="G171" i="4"/>
  <c r="G172" i="4" s="1"/>
  <c r="F161" i="4"/>
  <c r="E161" i="4"/>
  <c r="G142" i="4"/>
  <c r="G153" i="4" s="1"/>
  <c r="E142" i="4"/>
  <c r="E153" i="4" s="1"/>
  <c r="E134" i="4"/>
  <c r="F134" i="4"/>
  <c r="G134" i="4"/>
  <c r="H134" i="4"/>
  <c r="H125" i="4"/>
  <c r="G125" i="4"/>
  <c r="F125" i="4"/>
  <c r="E125" i="4"/>
  <c r="H117" i="4"/>
  <c r="G117" i="4"/>
  <c r="F117" i="4"/>
  <c r="E117" i="4"/>
  <c r="H108" i="4"/>
  <c r="G108" i="4"/>
  <c r="F108" i="4"/>
  <c r="E108" i="4"/>
  <c r="E101" i="4"/>
  <c r="F100" i="4"/>
  <c r="H100" i="4"/>
  <c r="E83" i="4"/>
  <c r="O72" i="4"/>
  <c r="E47" i="4"/>
  <c r="H47" i="4"/>
  <c r="H37" i="4"/>
  <c r="G70" i="1"/>
  <c r="E70" i="1"/>
  <c r="F62" i="1"/>
  <c r="G62" i="1"/>
  <c r="H62" i="1"/>
  <c r="G45" i="1"/>
  <c r="F35" i="1"/>
  <c r="H17" i="1"/>
  <c r="F17" i="1"/>
  <c r="E17" i="1"/>
  <c r="E28" i="1" s="1"/>
  <c r="I141" i="1"/>
  <c r="I151" i="1"/>
  <c r="E188" i="1"/>
  <c r="F188" i="1"/>
  <c r="F189" i="1" s="1"/>
  <c r="G188" i="1"/>
  <c r="H188" i="1"/>
  <c r="I188" i="1"/>
  <c r="J188" i="1"/>
  <c r="K188" i="1"/>
  <c r="L188" i="1"/>
  <c r="M188" i="1"/>
  <c r="N188" i="1"/>
  <c r="N189" i="1" s="1"/>
  <c r="O188" i="1"/>
  <c r="E189" i="1"/>
  <c r="E170" i="1"/>
  <c r="F170" i="1"/>
  <c r="G170" i="1"/>
  <c r="H170" i="1"/>
  <c r="G160" i="1"/>
  <c r="H160" i="1"/>
  <c r="F160" i="1"/>
  <c r="E160" i="1"/>
  <c r="H141" i="1"/>
  <c r="H151" i="1"/>
  <c r="H152" i="1" s="1"/>
  <c r="G151" i="1"/>
  <c r="F151" i="1"/>
  <c r="E151" i="1"/>
  <c r="O151" i="1"/>
  <c r="N151" i="1"/>
  <c r="M151" i="1"/>
  <c r="L151" i="1"/>
  <c r="K151" i="1"/>
  <c r="J151" i="1"/>
  <c r="O141" i="1"/>
  <c r="N141" i="1"/>
  <c r="M141" i="1"/>
  <c r="L141" i="1"/>
  <c r="K141" i="1"/>
  <c r="J141" i="1"/>
  <c r="G141" i="1"/>
  <c r="F141" i="1"/>
  <c r="E141" i="1"/>
  <c r="H133" i="1"/>
  <c r="G133" i="1"/>
  <c r="F133" i="1"/>
  <c r="E133" i="1"/>
  <c r="H124" i="1"/>
  <c r="G124" i="1"/>
  <c r="F124" i="1"/>
  <c r="E124" i="1"/>
  <c r="H116" i="1"/>
  <c r="G116" i="1"/>
  <c r="F116" i="1"/>
  <c r="E116" i="1"/>
  <c r="E117" i="1" s="1"/>
  <c r="O107" i="1"/>
  <c r="O117" i="1" s="1"/>
  <c r="N107" i="1"/>
  <c r="N117" i="1" s="1"/>
  <c r="M107" i="1"/>
  <c r="M117" i="1" s="1"/>
  <c r="L107" i="1"/>
  <c r="L117" i="1" s="1"/>
  <c r="K107" i="1"/>
  <c r="K117" i="1" s="1"/>
  <c r="J107" i="1"/>
  <c r="I107" i="1"/>
  <c r="I117" i="1" s="1"/>
  <c r="H107" i="1"/>
  <c r="G107" i="1"/>
  <c r="F107" i="1"/>
  <c r="E107" i="1"/>
  <c r="H98" i="1"/>
  <c r="G98" i="1"/>
  <c r="E98" i="1"/>
  <c r="F88" i="1"/>
  <c r="F99" i="1" s="1"/>
  <c r="H80" i="1"/>
  <c r="G80" i="1"/>
  <c r="F80" i="1"/>
  <c r="E80" i="1"/>
  <c r="F70" i="1"/>
  <c r="H70" i="1"/>
  <c r="E62" i="1"/>
  <c r="D62" i="1"/>
  <c r="H45" i="1"/>
  <c r="F45" i="1"/>
  <c r="E45" i="1"/>
  <c r="H35" i="1"/>
  <c r="H27" i="1"/>
  <c r="G27" i="1"/>
  <c r="F27" i="1"/>
  <c r="G17" i="1"/>
  <c r="I152" i="1" l="1"/>
  <c r="H134" i="1"/>
  <c r="N152" i="1"/>
  <c r="F117" i="1"/>
  <c r="G171" i="1"/>
  <c r="H135" i="4"/>
  <c r="E135" i="4"/>
  <c r="G118" i="4"/>
  <c r="E118" i="4"/>
  <c r="F172" i="4"/>
  <c r="I189" i="1"/>
  <c r="M189" i="1"/>
  <c r="F28" i="1"/>
  <c r="G152" i="1"/>
  <c r="F152" i="1"/>
  <c r="G134" i="1"/>
  <c r="G117" i="1"/>
  <c r="O189" i="1"/>
  <c r="K189" i="1"/>
  <c r="G189" i="1"/>
  <c r="J189" i="1"/>
  <c r="F46" i="1"/>
  <c r="G28" i="1"/>
  <c r="H28" i="1"/>
  <c r="H46" i="1"/>
  <c r="H117" i="1"/>
  <c r="L152" i="1"/>
  <c r="J152" i="1"/>
  <c r="E152" i="1"/>
  <c r="H171" i="1"/>
  <c r="F171" i="1"/>
  <c r="H190" i="4"/>
  <c r="F134" i="1"/>
  <c r="F118" i="4"/>
  <c r="E190" i="4"/>
  <c r="E134" i="1"/>
  <c r="K152" i="1"/>
  <c r="O152" i="1"/>
  <c r="E171" i="1"/>
  <c r="L189" i="1"/>
  <c r="H189" i="1"/>
  <c r="G101" i="4"/>
  <c r="H118" i="4"/>
  <c r="F135" i="4"/>
  <c r="G135" i="4"/>
  <c r="G190" i="4"/>
  <c r="D90" i="4"/>
  <c r="D101" i="4" s="1"/>
  <c r="H101" i="4"/>
  <c r="I90" i="4"/>
  <c r="I101" i="4" s="1"/>
  <c r="J90" i="4"/>
  <c r="J101" i="4" s="1"/>
  <c r="K90" i="4"/>
  <c r="K101" i="4" s="1"/>
  <c r="L90" i="4"/>
  <c r="L101" i="4" s="1"/>
  <c r="M90" i="4"/>
  <c r="N90" i="4"/>
  <c r="O90" i="4"/>
  <c r="M100" i="4"/>
  <c r="N100" i="4"/>
  <c r="O100" i="4"/>
  <c r="F101" i="4"/>
  <c r="O101" i="4" l="1"/>
  <c r="G190" i="1"/>
  <c r="H190" i="1"/>
  <c r="F190" i="1"/>
  <c r="E190" i="1"/>
  <c r="N101" i="4"/>
  <c r="M101" i="4"/>
  <c r="D188" i="1"/>
  <c r="D189" i="1" s="1"/>
  <c r="J98" i="1" l="1"/>
  <c r="J133" i="1"/>
  <c r="J134" i="1" s="1"/>
  <c r="J116" i="1"/>
  <c r="J117" i="1" s="1"/>
  <c r="J27" i="1"/>
  <c r="J80" i="1"/>
  <c r="J160" i="1"/>
  <c r="J17" i="1"/>
  <c r="M152" i="4"/>
  <c r="M153" i="4" s="1"/>
  <c r="M82" i="4"/>
  <c r="J28" i="1" l="1"/>
  <c r="N152" i="4" l="1"/>
  <c r="O152" i="4"/>
  <c r="J142" i="4"/>
  <c r="J153" i="4" s="1"/>
  <c r="K142" i="4"/>
  <c r="K153" i="4" s="1"/>
  <c r="L142" i="4"/>
  <c r="L153" i="4" s="1"/>
  <c r="N142" i="4"/>
  <c r="I125" i="4"/>
  <c r="J125" i="4"/>
  <c r="K125" i="4"/>
  <c r="L125" i="4"/>
  <c r="M125" i="4"/>
  <c r="N125" i="4"/>
  <c r="O125" i="4"/>
  <c r="O117" i="4"/>
  <c r="N117" i="4"/>
  <c r="M117" i="4"/>
  <c r="L117" i="4"/>
  <c r="K117" i="4"/>
  <c r="J117" i="4"/>
  <c r="I117" i="4"/>
  <c r="I108" i="4"/>
  <c r="J108" i="4"/>
  <c r="K108" i="4"/>
  <c r="L108" i="4"/>
  <c r="M108" i="4"/>
  <c r="N108" i="4"/>
  <c r="O108" i="4"/>
  <c r="N161" i="4"/>
  <c r="O161" i="4"/>
  <c r="E37" i="4"/>
  <c r="E48" i="4" s="1"/>
  <c r="F37" i="4"/>
  <c r="G37" i="4"/>
  <c r="I37" i="4"/>
  <c r="J37" i="4"/>
  <c r="K37" i="4"/>
  <c r="L37" i="4"/>
  <c r="M37" i="4"/>
  <c r="N37" i="4"/>
  <c r="O37" i="4"/>
  <c r="F83" i="4"/>
  <c r="G83" i="4"/>
  <c r="H72" i="4"/>
  <c r="H83" i="4" s="1"/>
  <c r="I72" i="4"/>
  <c r="I83" i="4" s="1"/>
  <c r="J72" i="4"/>
  <c r="J83" i="4" s="1"/>
  <c r="K72" i="4"/>
  <c r="K83" i="4" s="1"/>
  <c r="L72" i="4"/>
  <c r="L83" i="4" s="1"/>
  <c r="M72" i="4"/>
  <c r="M83" i="4" s="1"/>
  <c r="N72" i="4"/>
  <c r="N83" i="4" s="1"/>
  <c r="O83" i="4"/>
  <c r="O189" i="4"/>
  <c r="O190" i="4" s="1"/>
  <c r="N189" i="4"/>
  <c r="N190" i="4" s="1"/>
  <c r="M189" i="4"/>
  <c r="L189" i="4"/>
  <c r="L190" i="4" s="1"/>
  <c r="K189" i="4"/>
  <c r="K190" i="4" s="1"/>
  <c r="J189" i="4"/>
  <c r="J190" i="4" s="1"/>
  <c r="I189" i="4"/>
  <c r="I190" i="4" s="1"/>
  <c r="D134" i="4"/>
  <c r="O127" i="4"/>
  <c r="O134" i="4" s="1"/>
  <c r="N127" i="4"/>
  <c r="N134" i="4" s="1"/>
  <c r="M127" i="4"/>
  <c r="M134" i="4" s="1"/>
  <c r="L127" i="4"/>
  <c r="L134" i="4" s="1"/>
  <c r="K127" i="4"/>
  <c r="K134" i="4" s="1"/>
  <c r="J127" i="4"/>
  <c r="J134" i="4" s="1"/>
  <c r="I127" i="4"/>
  <c r="I134" i="4" s="1"/>
  <c r="E30" i="4"/>
  <c r="H29" i="4"/>
  <c r="I29" i="4"/>
  <c r="J29" i="4"/>
  <c r="K29" i="4"/>
  <c r="L29" i="4"/>
  <c r="M29" i="4"/>
  <c r="N29" i="4"/>
  <c r="O29" i="4"/>
  <c r="D83" i="4"/>
  <c r="G47" i="4"/>
  <c r="F47" i="4"/>
  <c r="D29" i="4"/>
  <c r="O19" i="4"/>
  <c r="N19" i="4"/>
  <c r="M19" i="4"/>
  <c r="L19" i="4"/>
  <c r="K19" i="4"/>
  <c r="J19" i="4"/>
  <c r="I19" i="4"/>
  <c r="H19" i="4"/>
  <c r="M190" i="4" l="1"/>
  <c r="I135" i="4"/>
  <c r="M135" i="4"/>
  <c r="I118" i="4"/>
  <c r="M118" i="4"/>
  <c r="K118" i="4"/>
  <c r="J135" i="4"/>
  <c r="N135" i="4"/>
  <c r="N118" i="4"/>
  <c r="L118" i="4"/>
  <c r="J118" i="4"/>
  <c r="O118" i="4"/>
  <c r="F30" i="4"/>
  <c r="O135" i="4"/>
  <c r="L135" i="4"/>
  <c r="K135" i="4"/>
  <c r="J30" i="4"/>
  <c r="O30" i="4"/>
  <c r="K30" i="4"/>
  <c r="G30" i="4"/>
  <c r="N30" i="4"/>
  <c r="M30" i="4"/>
  <c r="I30" i="4"/>
  <c r="L30" i="4"/>
  <c r="H30" i="4"/>
  <c r="O45" i="1" l="1"/>
  <c r="N45" i="1"/>
  <c r="M45" i="1"/>
  <c r="L45" i="1"/>
  <c r="K45" i="1"/>
  <c r="J45" i="1"/>
  <c r="I45" i="1"/>
  <c r="K133" i="1"/>
  <c r="K134" i="1" s="1"/>
  <c r="K27" i="1"/>
  <c r="K160" i="1"/>
  <c r="K17" i="1"/>
  <c r="K28" i="1" l="1"/>
  <c r="I84" i="1"/>
  <c r="O70" i="1"/>
  <c r="O81" i="1" s="1"/>
  <c r="N70" i="1"/>
  <c r="N81" i="1" s="1"/>
  <c r="M70" i="1"/>
  <c r="M81" i="1" s="1"/>
  <c r="L70" i="1"/>
  <c r="L81" i="1" s="1"/>
  <c r="K70" i="1"/>
  <c r="K81" i="1" s="1"/>
  <c r="J70" i="1"/>
  <c r="J81" i="1" s="1"/>
  <c r="I70" i="1"/>
  <c r="I81" i="1" s="1"/>
  <c r="H81" i="1"/>
  <c r="G81" i="1"/>
  <c r="F81" i="1"/>
  <c r="E81" i="1"/>
  <c r="D70" i="1"/>
  <c r="D81" i="1" s="1"/>
  <c r="O170" i="1"/>
  <c r="O171" i="1" s="1"/>
  <c r="O190" i="1" s="1"/>
  <c r="N170" i="1"/>
  <c r="N171" i="1" s="1"/>
  <c r="N190" i="1" s="1"/>
  <c r="M170" i="1"/>
  <c r="M171" i="1" s="1"/>
  <c r="M190" i="1" s="1"/>
  <c r="L170" i="1"/>
  <c r="L171" i="1" s="1"/>
  <c r="L190" i="1" s="1"/>
  <c r="K170" i="1"/>
  <c r="K171" i="1" s="1"/>
  <c r="K190" i="1" s="1"/>
  <c r="J170" i="1"/>
  <c r="J171" i="1" s="1"/>
  <c r="J190" i="1" s="1"/>
  <c r="I170" i="1"/>
  <c r="I171" i="1" s="1"/>
  <c r="I190" i="1" s="1"/>
  <c r="D170" i="1"/>
  <c r="D171" i="1" s="1"/>
  <c r="D190" i="1" s="1"/>
  <c r="H48" i="4"/>
  <c r="F48" i="4"/>
  <c r="D47" i="4"/>
  <c r="D48" i="4" s="1"/>
  <c r="G48" i="4"/>
  <c r="I47" i="4"/>
  <c r="I48" i="4" s="1"/>
  <c r="J47" i="4"/>
  <c r="J48" i="4" s="1"/>
  <c r="K47" i="4"/>
  <c r="K48" i="4" s="1"/>
  <c r="L47" i="4"/>
  <c r="L48" i="4" s="1"/>
  <c r="M47" i="4"/>
  <c r="M48" i="4" s="1"/>
  <c r="N47" i="4"/>
  <c r="N48" i="4" s="1"/>
  <c r="O47" i="4"/>
  <c r="O48" i="4" s="1"/>
  <c r="O171" i="4" l="1"/>
  <c r="O172" i="4" s="1"/>
  <c r="N171" i="4"/>
  <c r="N172" i="4" s="1"/>
  <c r="M171" i="4"/>
  <c r="M172" i="4" s="1"/>
  <c r="L171" i="4"/>
  <c r="L172" i="4" s="1"/>
  <c r="K171" i="4"/>
  <c r="K172" i="4" s="1"/>
  <c r="J171" i="4"/>
  <c r="J172" i="4" s="1"/>
  <c r="I171" i="4"/>
  <c r="I172" i="4" s="1"/>
  <c r="H171" i="4"/>
  <c r="H172" i="4" s="1"/>
  <c r="E171" i="4"/>
  <c r="E172" i="4" s="1"/>
  <c r="D171" i="4"/>
  <c r="D172" i="4" s="1"/>
  <c r="O86" i="1" l="1"/>
  <c r="N60" i="4"/>
  <c r="M60" i="4"/>
  <c r="L60" i="4"/>
  <c r="K60" i="4"/>
  <c r="J60" i="4"/>
  <c r="I60" i="4"/>
  <c r="H60" i="4"/>
  <c r="G60" i="4"/>
  <c r="F60" i="4"/>
  <c r="E60" i="4"/>
  <c r="O33" i="1"/>
  <c r="O58" i="4"/>
  <c r="D64" i="4" l="1"/>
  <c r="J64" i="4"/>
  <c r="H64" i="4"/>
  <c r="G64" i="4"/>
  <c r="F64" i="4"/>
  <c r="E64" i="4"/>
  <c r="O64" i="4"/>
  <c r="M57" i="4"/>
  <c r="L57" i="4"/>
  <c r="L64" i="4" s="1"/>
  <c r="E65" i="4" l="1"/>
  <c r="M64" i="4"/>
  <c r="M65" i="4" s="1"/>
  <c r="F65" i="4"/>
  <c r="J65" i="4"/>
  <c r="I64" i="4"/>
  <c r="I65" i="4" s="1"/>
  <c r="N64" i="4"/>
  <c r="N65" i="4" s="1"/>
  <c r="D65" i="4"/>
  <c r="G65" i="4"/>
  <c r="K64" i="4"/>
  <c r="O65" i="4"/>
  <c r="H65" i="4"/>
  <c r="L65" i="4"/>
  <c r="E52" i="1"/>
  <c r="F52" i="1"/>
  <c r="G52" i="1"/>
  <c r="H52" i="1"/>
  <c r="I52" i="1"/>
  <c r="J52" i="1"/>
  <c r="K52" i="1"/>
  <c r="L52" i="1"/>
  <c r="O84" i="1"/>
  <c r="O49" i="1"/>
  <c r="L32" i="1"/>
  <c r="J32" i="1"/>
  <c r="I32" i="1"/>
  <c r="G32" i="1"/>
  <c r="G35" i="1" s="1"/>
  <c r="G46" i="1" s="1"/>
  <c r="E32" i="1"/>
  <c r="E35" i="1" s="1"/>
  <c r="K65" i="4" l="1"/>
  <c r="O51" i="1" l="1"/>
  <c r="M51" i="1"/>
  <c r="L51" i="1"/>
  <c r="K51" i="1"/>
  <c r="J51" i="1"/>
  <c r="I51" i="1"/>
  <c r="H53" i="1"/>
  <c r="H63" i="1" s="1"/>
  <c r="G53" i="1"/>
  <c r="G63" i="1" s="1"/>
  <c r="F53" i="1"/>
  <c r="F63" i="1" s="1"/>
  <c r="F100" i="1" s="1"/>
  <c r="F191" i="1" s="1"/>
  <c r="E53" i="1"/>
  <c r="E63" i="1" s="1"/>
  <c r="M88" i="1"/>
  <c r="D88" i="1"/>
  <c r="O88" i="1"/>
  <c r="O53" i="1" l="1"/>
  <c r="N53" i="1"/>
  <c r="M53" i="1"/>
  <c r="L53" i="1"/>
  <c r="K53" i="1"/>
  <c r="J53" i="1"/>
  <c r="I53" i="1"/>
  <c r="N87" i="1"/>
  <c r="N88" i="1" s="1"/>
  <c r="L87" i="1"/>
  <c r="L88" i="1" s="1"/>
  <c r="K87" i="1"/>
  <c r="K88" i="1" s="1"/>
  <c r="J87" i="1"/>
  <c r="J88" i="1" s="1"/>
  <c r="J99" i="1" s="1"/>
  <c r="I87" i="1"/>
  <c r="I88" i="1" s="1"/>
  <c r="I99" i="1" s="1"/>
  <c r="H87" i="1"/>
  <c r="H88" i="1" s="1"/>
  <c r="H99" i="1" s="1"/>
  <c r="H100" i="1" s="1"/>
  <c r="H191" i="1" s="1"/>
  <c r="G88" i="1"/>
  <c r="E87" i="1"/>
  <c r="E88" i="1" s="1"/>
  <c r="E99" i="1" s="1"/>
  <c r="D53" i="1"/>
  <c r="G99" i="1" l="1"/>
  <c r="G100" i="1" s="1"/>
  <c r="G191" i="1" s="1"/>
  <c r="N35" i="1"/>
  <c r="N46" i="1" s="1"/>
  <c r="O35" i="1"/>
  <c r="O46" i="1" s="1"/>
  <c r="D35" i="1"/>
  <c r="D46" i="1" s="1"/>
  <c r="M35" i="1"/>
  <c r="M46" i="1" s="1"/>
  <c r="L35" i="1"/>
  <c r="L46" i="1" s="1"/>
  <c r="K35" i="1"/>
  <c r="K46" i="1" s="1"/>
  <c r="J35" i="1"/>
  <c r="J46" i="1" s="1"/>
  <c r="I35" i="1"/>
  <c r="I46" i="1" s="1"/>
  <c r="E46" i="1"/>
  <c r="E100" i="1" s="1"/>
  <c r="E191" i="1" s="1"/>
</calcChain>
</file>

<file path=xl/sharedStrings.xml><?xml version="1.0" encoding="utf-8"?>
<sst xmlns="http://schemas.openxmlformats.org/spreadsheetml/2006/main" count="581" uniqueCount="105">
  <si>
    <t>Каша вязкая молочная из овсяных хлопьев «Геркулес» с маслом сливочным</t>
  </si>
  <si>
    <t>Б</t>
  </si>
  <si>
    <t>Ж</t>
  </si>
  <si>
    <t>У</t>
  </si>
  <si>
    <t>ЭЦ</t>
  </si>
  <si>
    <t>Ca</t>
  </si>
  <si>
    <t>Mg</t>
  </si>
  <si>
    <t>Fe</t>
  </si>
  <si>
    <t>P</t>
  </si>
  <si>
    <t>B1</t>
  </si>
  <si>
    <t>C</t>
  </si>
  <si>
    <t>A</t>
  </si>
  <si>
    <t>Сыр (порциями)</t>
  </si>
  <si>
    <t>Батон пшеничный в/с</t>
  </si>
  <si>
    <t>Чай с сахаром</t>
  </si>
  <si>
    <t>Яблоко</t>
  </si>
  <si>
    <t>Итого:</t>
  </si>
  <si>
    <t>Кура отварная</t>
  </si>
  <si>
    <t>Печень по-Строгановски</t>
  </si>
  <si>
    <t>Греча отварная рассыпчатая</t>
  </si>
  <si>
    <t>Томаты свежие порционно</t>
  </si>
  <si>
    <t>Хлеб пшеничный</t>
  </si>
  <si>
    <t>Хлеб ржано-пшеничный</t>
  </si>
  <si>
    <t>Компот из смеси сухофруктов</t>
  </si>
  <si>
    <t>Итого за день:</t>
  </si>
  <si>
    <t>Понедельник Первая неделя</t>
  </si>
  <si>
    <t>Чай с сахаром и лимоном</t>
  </si>
  <si>
    <t>Напиток кофейный на молоке</t>
  </si>
  <si>
    <t>Рис отварной</t>
  </si>
  <si>
    <t>Джем/Повидло</t>
  </si>
  <si>
    <t xml:space="preserve">Суп картофельный с макаронными изделиями </t>
  </si>
  <si>
    <t>Котлеты, биточки, шницели с соусом №332</t>
  </si>
  <si>
    <t>Запеканка творожная с соусом молочным сладким № 327</t>
  </si>
  <si>
    <t>Вторник Первая неделя</t>
  </si>
  <si>
    <t>Каша молочная из риса и пшена «Дружба» с маслом сливочным</t>
  </si>
  <si>
    <t xml:space="preserve">Напиток из плодов шиповника </t>
  </si>
  <si>
    <t>Борщ с капустой и картофелем</t>
  </si>
  <si>
    <t>Тефтели из куры в соусе №331</t>
  </si>
  <si>
    <t>Макаронные изделия отварные</t>
  </si>
  <si>
    <t>Салат из моркови с яблоками</t>
  </si>
  <si>
    <t>Среда Первая неделя</t>
  </si>
  <si>
    <t>Каша молочная жидкая из гречневой крупы с маслом сливочным</t>
  </si>
  <si>
    <t>Печенье затяжное</t>
  </si>
  <si>
    <t>Рассольник Ленинградский со сметаной</t>
  </si>
  <si>
    <t>Котлета рыбная (минтай) с соусом №326</t>
  </si>
  <si>
    <t>Пюре картофельное</t>
  </si>
  <si>
    <t>Салат из квашеной капусты</t>
  </si>
  <si>
    <t>Четверг Первая неделя</t>
  </si>
  <si>
    <t>Каша молочная жидкая из манной крупы с маслом</t>
  </si>
  <si>
    <t>Какао на молоке</t>
  </si>
  <si>
    <t xml:space="preserve">Суп из овощей </t>
  </si>
  <si>
    <t>Капуста тушеная</t>
  </si>
  <si>
    <t>Салат из отварной свеклы</t>
  </si>
  <si>
    <t>Компот из свежих яблок</t>
  </si>
  <si>
    <t>Пятница Первая неделя</t>
  </si>
  <si>
    <t>Яйцо вареное</t>
  </si>
  <si>
    <t>Каша вязкая молочная из пшенной крупы с маслом</t>
  </si>
  <si>
    <t>Суп картофельный с бобовыми</t>
  </si>
  <si>
    <t>Плов из птицы</t>
  </si>
  <si>
    <t>Салат витаминный (2 вариант)</t>
  </si>
  <si>
    <t>Понедельник Вторая неделя</t>
  </si>
  <si>
    <t>Запеканка рисовая с творогом и с соусом молочным сладким № 327</t>
  </si>
  <si>
    <t>Апельсин</t>
  </si>
  <si>
    <t>Салат из соленых огурцов</t>
  </si>
  <si>
    <t>Борщ Сибирский со сметаной</t>
  </si>
  <si>
    <t>Вторник Вторая неделя</t>
  </si>
  <si>
    <t>Каша вязкая молочная рисовая с маслом</t>
  </si>
  <si>
    <t>Суп картофельный</t>
  </si>
  <si>
    <t>Рыба отварная</t>
  </si>
  <si>
    <t>Напиток цитрусовый</t>
  </si>
  <si>
    <t>Среда Вторая неделя</t>
  </si>
  <si>
    <t>Щи из квашеной капусты с картофелем и сметаной</t>
  </si>
  <si>
    <t>Бефстроганов из куры</t>
  </si>
  <si>
    <t>Четверг Вторая неделя</t>
  </si>
  <si>
    <t>Картофель отварной с маслом растительным</t>
  </si>
  <si>
    <t>Пятница Вторая неделя</t>
  </si>
  <si>
    <t>Среднее значение за 10 дней:</t>
  </si>
  <si>
    <t>Бутерброд с сыром</t>
  </si>
  <si>
    <t>к/к</t>
  </si>
  <si>
    <t>Технологическая и нормативная документация/сборник рецептур</t>
  </si>
  <si>
    <t>Наименование</t>
  </si>
  <si>
    <t>Выход         в гр.</t>
  </si>
  <si>
    <t>Пищевая ценность</t>
  </si>
  <si>
    <t>Минеральные вещества</t>
  </si>
  <si>
    <t>Витамины</t>
  </si>
  <si>
    <t>223/327</t>
  </si>
  <si>
    <t>268/332</t>
  </si>
  <si>
    <t>239/326</t>
  </si>
  <si>
    <t>Завтрак</t>
  </si>
  <si>
    <t>Обед</t>
  </si>
  <si>
    <t>297/331</t>
  </si>
  <si>
    <t>Заврак</t>
  </si>
  <si>
    <t>Среднее значение за неделю:</t>
  </si>
  <si>
    <t>Согласовано</t>
  </si>
  <si>
    <t>Утверждено</t>
  </si>
  <si>
    <t>ООО "Комбинат социального питания"</t>
  </si>
  <si>
    <t>Генеральный директор</t>
  </si>
  <si>
    <t>____________________________ С.Н. Ашихмин</t>
  </si>
  <si>
    <r>
      <t xml:space="preserve">Примерное меню приготовляемых блюд для обеспечения питания (завтрак, обед) обучающихся                                                                             </t>
    </r>
    <r>
      <rPr>
        <b/>
        <sz val="18"/>
        <color theme="1"/>
        <rFont val="Times New Roman"/>
        <family val="1"/>
        <charset val="204"/>
      </rPr>
      <t>с 7 до 11 лет</t>
    </r>
    <r>
      <rPr>
        <b/>
        <sz val="16"/>
        <color theme="1"/>
        <rFont val="Times New Roman"/>
        <family val="1"/>
        <charset val="204"/>
      </rPr>
      <t xml:space="preserve"> в образовательных учреждениях г. Выборга и Выборгского района Ленинградской области</t>
    </r>
  </si>
  <si>
    <t>№
рецептур или 
технологической 
карты</t>
  </si>
  <si>
    <t xml:space="preserve"> Каша молочная жидкая из гречневой крупы с маслом сливочным</t>
  </si>
  <si>
    <r>
      <t xml:space="preserve">Примерное меню приготовляемых блюд для обеспечения питания (завтрак, обед) обучающихся                                                                             </t>
    </r>
    <r>
      <rPr>
        <b/>
        <sz val="18"/>
        <color theme="1"/>
        <rFont val="Times New Roman"/>
        <family val="1"/>
        <charset val="204"/>
      </rPr>
      <t>с 12 лет и старше</t>
    </r>
    <r>
      <rPr>
        <b/>
        <sz val="16"/>
        <color theme="1"/>
        <rFont val="Times New Roman"/>
        <family val="1"/>
        <charset val="204"/>
      </rPr>
      <t xml:space="preserve"> в образовательных учреждениях г. Выборга и Выборгского района Ленинградской области</t>
    </r>
  </si>
  <si>
    <t>Суп картофельный с бобовыми и курой отварной</t>
  </si>
  <si>
    <t xml:space="preserve">  </t>
  </si>
  <si>
    <t xml:space="preserve">Источник рецептуры: Сборник рецептур на продукцию для обучающихся во всех образовательных учреждениях / Под ред. М.П. Могильного и В.А. Тутельяна. - М.: ДеЛи плюс, 2017. - 544 с.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</si>
</sst>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13131B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13131B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6">
    <xf numFmtId="0" fontId="0" fillId="0" borderId="0" xfId="0"/>
    <xf numFmtId="0" fontId="0" fillId="3" borderId="0" xfId="0" applyFill="1"/>
    <xf numFmtId="0" fontId="0" fillId="0" borderId="0" xfId="0" applyAlignment="1">
      <alignment vertical="center"/>
    </xf>
    <xf numFmtId="0" fontId="5" fillId="3" borderId="0" xfId="0" applyFont="1" applyFill="1"/>
    <xf numFmtId="2" fontId="5" fillId="3" borderId="1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4" xfId="1" applyNumberFormat="1" applyFont="1" applyFill="1" applyBorder="1" applyAlignment="1">
      <alignment horizontal="center" vertical="center"/>
    </xf>
    <xf numFmtId="0" fontId="5" fillId="3" borderId="4" xfId="1" applyNumberFormat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2" fontId="5" fillId="3" borderId="3" xfId="1" applyNumberFormat="1" applyFont="1" applyFill="1" applyBorder="1" applyAlignment="1">
      <alignment horizontal="center" vertical="center"/>
    </xf>
    <xf numFmtId="2" fontId="5" fillId="3" borderId="5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7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wrapText="1"/>
    </xf>
    <xf numFmtId="0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/>
    <xf numFmtId="2" fontId="10" fillId="3" borderId="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wrapText="1"/>
    </xf>
    <xf numFmtId="2" fontId="10" fillId="3" borderId="1" xfId="1" applyNumberFormat="1" applyFont="1" applyFill="1" applyBorder="1" applyAlignment="1">
      <alignment horizontal="center" vertical="center"/>
    </xf>
    <xf numFmtId="2" fontId="10" fillId="3" borderId="4" xfId="1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/>
    </xf>
    <xf numFmtId="0" fontId="10" fillId="3" borderId="7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/>
    </xf>
    <xf numFmtId="2" fontId="10" fillId="3" borderId="3" xfId="1" applyNumberFormat="1" applyFont="1" applyFill="1" applyBorder="1" applyAlignment="1">
      <alignment horizontal="center" vertical="center"/>
    </xf>
    <xf numFmtId="2" fontId="10" fillId="3" borderId="5" xfId="1" applyNumberFormat="1" applyFont="1" applyFill="1" applyBorder="1" applyAlignment="1">
      <alignment horizontal="center" vertical="center"/>
    </xf>
    <xf numFmtId="0" fontId="7" fillId="0" borderId="0" xfId="0" applyFont="1"/>
    <xf numFmtId="0" fontId="14" fillId="0" borderId="0" xfId="0" applyFont="1"/>
    <xf numFmtId="0" fontId="0" fillId="0" borderId="0" xfId="0" applyBorder="1"/>
    <xf numFmtId="0" fontId="15" fillId="0" borderId="0" xfId="0" applyFont="1"/>
    <xf numFmtId="2" fontId="10" fillId="3" borderId="3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9" fillId="3" borderId="1" xfId="0" applyFont="1" applyFill="1" applyBorder="1" applyAlignment="1">
      <alignment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9" fillId="3" borderId="2" xfId="0" applyFont="1" applyFill="1" applyBorder="1" applyAlignment="1">
      <alignment horizontal="center" vertical="center" wrapText="1"/>
    </xf>
    <xf numFmtId="2" fontId="10" fillId="3" borderId="5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2" fontId="5" fillId="3" borderId="6" xfId="0" applyNumberFormat="1" applyFont="1" applyFill="1" applyBorder="1" applyAlignment="1">
      <alignment horizontal="center" vertical="center"/>
    </xf>
    <xf numFmtId="0" fontId="5" fillId="3" borderId="7" xfId="1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3" borderId="0" xfId="0" applyFont="1" applyFill="1" applyBorder="1" applyAlignment="1">
      <alignment horizontal="center" vertical="center" textRotation="90"/>
    </xf>
    <xf numFmtId="2" fontId="7" fillId="0" borderId="0" xfId="0" applyNumberFormat="1" applyFont="1"/>
    <xf numFmtId="0" fontId="7" fillId="3" borderId="1" xfId="0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7" fillId="3" borderId="0" xfId="0" applyFont="1" applyFill="1"/>
    <xf numFmtId="0" fontId="3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2" fontId="10" fillId="3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7" fillId="3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1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2" fontId="18" fillId="3" borderId="1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3" xfId="0" applyFont="1" applyFill="1" applyBorder="1" applyAlignment="1">
      <alignment vertical="center" wrapText="1"/>
    </xf>
    <xf numFmtId="0" fontId="10" fillId="3" borderId="0" xfId="0" applyFont="1" applyFill="1"/>
    <xf numFmtId="0" fontId="9" fillId="3" borderId="1" xfId="0" applyFont="1" applyFill="1" applyBorder="1"/>
    <xf numFmtId="2" fontId="9" fillId="3" borderId="1" xfId="0" applyNumberFormat="1" applyFont="1" applyFill="1" applyBorder="1"/>
    <xf numFmtId="0" fontId="7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2" fontId="7" fillId="3" borderId="0" xfId="0" applyNumberFormat="1" applyFont="1" applyFill="1"/>
    <xf numFmtId="0" fontId="1" fillId="3" borderId="8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right" wrapText="1"/>
    </xf>
    <xf numFmtId="0" fontId="15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left" vertical="top" wrapText="1"/>
    </xf>
    <xf numFmtId="0" fontId="6" fillId="3" borderId="0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textRotation="90"/>
    </xf>
    <xf numFmtId="0" fontId="7" fillId="3" borderId="6" xfId="0" applyFont="1" applyFill="1" applyBorder="1" applyAlignment="1">
      <alignment horizontal="center" vertical="center" textRotation="90"/>
    </xf>
    <xf numFmtId="0" fontId="7" fillId="3" borderId="3" xfId="0" applyFont="1" applyFill="1" applyBorder="1" applyAlignment="1">
      <alignment horizontal="center" vertical="center" textRotation="90"/>
    </xf>
    <xf numFmtId="0" fontId="7" fillId="3" borderId="13" xfId="0" applyFont="1" applyFill="1" applyBorder="1" applyAlignment="1">
      <alignment horizontal="center" vertical="center" textRotation="90"/>
    </xf>
    <xf numFmtId="0" fontId="7" fillId="3" borderId="2" xfId="0" applyFont="1" applyFill="1" applyBorder="1" applyAlignment="1">
      <alignment horizontal="center" vertical="center" textRotation="90"/>
    </xf>
    <xf numFmtId="0" fontId="7" fillId="3" borderId="7" xfId="0" applyFont="1" applyFill="1" applyBorder="1" applyAlignment="1">
      <alignment horizontal="center" vertical="center" textRotation="90"/>
    </xf>
    <xf numFmtId="0" fontId="7" fillId="3" borderId="1" xfId="0" applyFont="1" applyFill="1" applyBorder="1" applyAlignment="1">
      <alignment horizontal="center" vertical="center" textRotation="90"/>
    </xf>
    <xf numFmtId="0" fontId="9" fillId="3" borderId="2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right" wrapText="1"/>
    </xf>
    <xf numFmtId="0" fontId="17" fillId="3" borderId="0" xfId="0" applyFont="1" applyFill="1" applyAlignment="1">
      <alignment horizontal="center" vertical="center" wrapText="1"/>
    </xf>
    <xf numFmtId="0" fontId="7" fillId="4" borderId="0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2"/>
  <sheetViews>
    <sheetView view="pageBreakPreview" zoomScaleNormal="100" zoomScaleSheetLayoutView="100" workbookViewId="0">
      <selection activeCell="A197" sqref="A197"/>
    </sheetView>
  </sheetViews>
  <sheetFormatPr defaultRowHeight="14.4" x14ac:dyDescent="0.3"/>
  <cols>
    <col min="1" max="1" width="36.33203125" customWidth="1"/>
    <col min="2" max="2" width="13.33203125" style="75" customWidth="1"/>
    <col min="3" max="3" width="12" style="75" customWidth="1"/>
    <col min="4" max="4" width="9.6640625" style="75" bestFit="1" customWidth="1"/>
    <col min="5" max="15" width="8.88671875" style="75"/>
    <col min="16" max="16" width="3.33203125" style="62" customWidth="1"/>
  </cols>
  <sheetData>
    <row r="1" spans="1:16" s="63" customFormat="1" ht="15.6" x14ac:dyDescent="0.3">
      <c r="A1" s="130" t="s">
        <v>93</v>
      </c>
      <c r="B1" s="130"/>
      <c r="C1" s="130"/>
      <c r="D1" s="103"/>
      <c r="E1" s="103"/>
      <c r="F1" s="103"/>
      <c r="G1" s="103"/>
      <c r="H1" s="103"/>
      <c r="I1" s="127" t="s">
        <v>94</v>
      </c>
      <c r="J1" s="127"/>
      <c r="K1" s="127"/>
      <c r="L1" s="127"/>
      <c r="M1" s="127"/>
      <c r="N1" s="127"/>
      <c r="O1" s="127"/>
      <c r="P1" s="127"/>
    </row>
    <row r="2" spans="1:16" ht="15.6" x14ac:dyDescent="0.3">
      <c r="A2" s="131"/>
      <c r="B2" s="131"/>
      <c r="C2" s="131"/>
      <c r="D2" s="103"/>
      <c r="E2" s="103"/>
      <c r="F2" s="103"/>
      <c r="G2" s="103"/>
      <c r="H2" s="103"/>
      <c r="I2" s="127" t="s">
        <v>96</v>
      </c>
      <c r="J2" s="127"/>
      <c r="K2" s="127"/>
      <c r="L2" s="127"/>
      <c r="M2" s="127"/>
      <c r="N2" s="127"/>
      <c r="O2" s="127"/>
      <c r="P2" s="127"/>
    </row>
    <row r="3" spans="1:16" ht="15.6" customHeight="1" x14ac:dyDescent="0.3">
      <c r="A3" s="126"/>
      <c r="B3" s="126"/>
      <c r="C3" s="126"/>
      <c r="D3" s="103"/>
      <c r="E3" s="103"/>
      <c r="F3" s="103"/>
      <c r="G3" s="103"/>
      <c r="H3" s="103"/>
      <c r="I3" s="127" t="s">
        <v>95</v>
      </c>
      <c r="J3" s="127"/>
      <c r="K3" s="127"/>
      <c r="L3" s="127"/>
      <c r="M3" s="127"/>
      <c r="N3" s="127"/>
      <c r="O3" s="127"/>
      <c r="P3" s="127"/>
    </row>
    <row r="4" spans="1:16" ht="15.6" x14ac:dyDescent="0.3">
      <c r="A4" s="126"/>
      <c r="B4" s="126"/>
      <c r="C4" s="126"/>
      <c r="D4" s="103"/>
      <c r="E4" s="103"/>
      <c r="F4" s="103"/>
      <c r="G4" s="103"/>
      <c r="H4" s="103"/>
      <c r="I4" s="127" t="s">
        <v>97</v>
      </c>
      <c r="J4" s="127"/>
      <c r="K4" s="127"/>
      <c r="L4" s="127"/>
      <c r="M4" s="127"/>
      <c r="N4" s="127"/>
      <c r="O4" s="127"/>
      <c r="P4" s="127"/>
    </row>
    <row r="5" spans="1:16" ht="7.2" customHeight="1" x14ac:dyDescent="0.3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6"/>
    </row>
    <row r="6" spans="1:16" s="64" customFormat="1" ht="20.399999999999999" x14ac:dyDescent="0.35">
      <c r="A6" s="128" t="s">
        <v>98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</row>
    <row r="7" spans="1:16" s="64" customFormat="1" ht="30" customHeight="1" x14ac:dyDescent="0.3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</row>
    <row r="8" spans="1:16" ht="15.6" customHeight="1" x14ac:dyDescent="0.3">
      <c r="A8" s="139" t="s">
        <v>80</v>
      </c>
      <c r="B8" s="140" t="s">
        <v>79</v>
      </c>
      <c r="C8" s="140" t="s">
        <v>99</v>
      </c>
      <c r="D8" s="140" t="s">
        <v>81</v>
      </c>
      <c r="E8" s="139" t="s">
        <v>82</v>
      </c>
      <c r="F8" s="139"/>
      <c r="G8" s="139"/>
      <c r="H8" s="139"/>
      <c r="I8" s="139" t="s">
        <v>83</v>
      </c>
      <c r="J8" s="139"/>
      <c r="K8" s="139"/>
      <c r="L8" s="139"/>
      <c r="M8" s="139" t="s">
        <v>84</v>
      </c>
      <c r="N8" s="139"/>
      <c r="O8" s="139"/>
      <c r="P8" s="96"/>
    </row>
    <row r="9" spans="1:16" ht="70.95" customHeight="1" x14ac:dyDescent="0.3">
      <c r="A9" s="139"/>
      <c r="B9" s="140"/>
      <c r="C9" s="140"/>
      <c r="D9" s="140"/>
      <c r="E9" s="107" t="s">
        <v>1</v>
      </c>
      <c r="F9" s="107" t="s">
        <v>2</v>
      </c>
      <c r="G9" s="107" t="s">
        <v>3</v>
      </c>
      <c r="H9" s="107" t="s">
        <v>4</v>
      </c>
      <c r="I9" s="107" t="s">
        <v>5</v>
      </c>
      <c r="J9" s="107" t="s">
        <v>6</v>
      </c>
      <c r="K9" s="107" t="s">
        <v>7</v>
      </c>
      <c r="L9" s="107" t="s">
        <v>8</v>
      </c>
      <c r="M9" s="107" t="s">
        <v>9</v>
      </c>
      <c r="N9" s="107" t="s">
        <v>10</v>
      </c>
      <c r="O9" s="107" t="s">
        <v>11</v>
      </c>
      <c r="P9" s="96"/>
    </row>
    <row r="10" spans="1:16" ht="15.6" customHeight="1" x14ac:dyDescent="0.3">
      <c r="A10" s="152" t="s">
        <v>25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  <c r="P10" s="96"/>
    </row>
    <row r="11" spans="1:16" ht="15.6" customHeight="1" x14ac:dyDescent="0.3">
      <c r="A11" s="152" t="s">
        <v>88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4"/>
      <c r="P11" s="96"/>
    </row>
    <row r="12" spans="1:16" ht="29.4" customHeight="1" x14ac:dyDescent="0.3">
      <c r="A12" s="32" t="s">
        <v>0</v>
      </c>
      <c r="B12" s="41">
        <v>2017</v>
      </c>
      <c r="C12" s="41">
        <v>173</v>
      </c>
      <c r="D12" s="33">
        <v>210</v>
      </c>
      <c r="E12" s="34">
        <v>7.04</v>
      </c>
      <c r="F12" s="34">
        <v>10.42</v>
      </c>
      <c r="G12" s="34">
        <v>22.12</v>
      </c>
      <c r="H12" s="34">
        <v>193.64</v>
      </c>
      <c r="I12" s="34">
        <v>158.65</v>
      </c>
      <c r="J12" s="34">
        <v>57.64</v>
      </c>
      <c r="K12" s="34">
        <v>1.41</v>
      </c>
      <c r="L12" s="34">
        <v>66.37</v>
      </c>
      <c r="M12" s="34">
        <v>0.21</v>
      </c>
      <c r="N12" s="34">
        <v>0.52500000000000002</v>
      </c>
      <c r="O12" s="34">
        <v>17.669999999999998</v>
      </c>
      <c r="P12" s="147" t="s">
        <v>25</v>
      </c>
    </row>
    <row r="13" spans="1:16" x14ac:dyDescent="0.3">
      <c r="A13" s="35" t="s">
        <v>12</v>
      </c>
      <c r="B13" s="41">
        <v>2017</v>
      </c>
      <c r="C13" s="41">
        <v>15</v>
      </c>
      <c r="D13" s="33">
        <v>15</v>
      </c>
      <c r="E13" s="34">
        <v>3.48</v>
      </c>
      <c r="F13" s="34">
        <v>4.43</v>
      </c>
      <c r="G13" s="34">
        <v>0</v>
      </c>
      <c r="H13" s="34">
        <v>54.6</v>
      </c>
      <c r="I13" s="34">
        <v>132</v>
      </c>
      <c r="J13" s="34">
        <v>5.25</v>
      </c>
      <c r="K13" s="34">
        <v>0.15</v>
      </c>
      <c r="L13" s="34">
        <v>75</v>
      </c>
      <c r="M13" s="34">
        <v>0.01</v>
      </c>
      <c r="N13" s="34">
        <v>0.11</v>
      </c>
      <c r="O13" s="36">
        <v>39</v>
      </c>
      <c r="P13" s="147"/>
    </row>
    <row r="14" spans="1:16" x14ac:dyDescent="0.3">
      <c r="A14" s="35" t="s">
        <v>13</v>
      </c>
      <c r="B14" s="41" t="s">
        <v>78</v>
      </c>
      <c r="C14" s="41" t="s">
        <v>78</v>
      </c>
      <c r="D14" s="33">
        <v>60</v>
      </c>
      <c r="E14" s="34">
        <v>4.74</v>
      </c>
      <c r="F14" s="34">
        <v>0.6</v>
      </c>
      <c r="G14" s="34">
        <v>28.98</v>
      </c>
      <c r="H14" s="34">
        <v>140.28</v>
      </c>
      <c r="I14" s="34">
        <v>13.8</v>
      </c>
      <c r="J14" s="34">
        <v>19.8</v>
      </c>
      <c r="K14" s="34">
        <v>0.66</v>
      </c>
      <c r="L14" s="34">
        <v>52.2</v>
      </c>
      <c r="M14" s="34">
        <v>0.1</v>
      </c>
      <c r="N14" s="34">
        <v>0</v>
      </c>
      <c r="O14" s="36">
        <v>0</v>
      </c>
      <c r="P14" s="147"/>
    </row>
    <row r="15" spans="1:16" x14ac:dyDescent="0.3">
      <c r="A15" s="35" t="s">
        <v>14</v>
      </c>
      <c r="B15" s="40">
        <v>2017</v>
      </c>
      <c r="C15" s="40">
        <v>376</v>
      </c>
      <c r="D15" s="33">
        <v>200</v>
      </c>
      <c r="E15" s="34">
        <v>0.2</v>
      </c>
      <c r="F15" s="34">
        <v>0</v>
      </c>
      <c r="G15" s="34">
        <v>14</v>
      </c>
      <c r="H15" s="34">
        <v>28</v>
      </c>
      <c r="I15" s="34">
        <v>6</v>
      </c>
      <c r="J15" s="34">
        <v>0</v>
      </c>
      <c r="K15" s="34">
        <v>0.4</v>
      </c>
      <c r="L15" s="34">
        <v>0</v>
      </c>
      <c r="M15" s="34">
        <v>0</v>
      </c>
      <c r="N15" s="34">
        <v>0</v>
      </c>
      <c r="O15" s="34">
        <v>0</v>
      </c>
      <c r="P15" s="147"/>
    </row>
    <row r="16" spans="1:16" x14ac:dyDescent="0.3">
      <c r="A16" s="37" t="s">
        <v>29</v>
      </c>
      <c r="B16" s="41" t="s">
        <v>78</v>
      </c>
      <c r="C16" s="41" t="s">
        <v>78</v>
      </c>
      <c r="D16" s="38">
        <v>20</v>
      </c>
      <c r="E16" s="34">
        <v>0.1</v>
      </c>
      <c r="F16" s="34">
        <v>0</v>
      </c>
      <c r="G16" s="34">
        <v>14.32</v>
      </c>
      <c r="H16" s="34">
        <v>57.68</v>
      </c>
      <c r="I16" s="34">
        <v>2.4</v>
      </c>
      <c r="J16" s="34">
        <v>1.8</v>
      </c>
      <c r="K16" s="34">
        <v>0.08</v>
      </c>
      <c r="L16" s="34">
        <v>3.6</v>
      </c>
      <c r="M16" s="34">
        <v>0</v>
      </c>
      <c r="N16" s="34">
        <v>0.48</v>
      </c>
      <c r="O16" s="34">
        <v>0</v>
      </c>
      <c r="P16" s="147"/>
    </row>
    <row r="17" spans="1:16" x14ac:dyDescent="0.3">
      <c r="A17" s="35" t="s">
        <v>16</v>
      </c>
      <c r="B17" s="44"/>
      <c r="C17" s="44"/>
      <c r="D17" s="34">
        <v>505</v>
      </c>
      <c r="E17" s="34">
        <f>SUM(E12:E16)</f>
        <v>15.559999999999999</v>
      </c>
      <c r="F17" s="34">
        <f>SUM(F12:F16)</f>
        <v>15.45</v>
      </c>
      <c r="G17" s="34">
        <f>SUM(G12:G16)</f>
        <v>79.419999999999987</v>
      </c>
      <c r="H17" s="34">
        <f>SUM(H12:H16)</f>
        <v>474.2</v>
      </c>
      <c r="I17" s="34">
        <v>312.84999999999997</v>
      </c>
      <c r="J17" s="34">
        <f>SUM(J12:J16)</f>
        <v>84.49</v>
      </c>
      <c r="K17" s="34">
        <f>SUM(K12:K16)</f>
        <v>2.6999999999999997</v>
      </c>
      <c r="L17" s="34">
        <v>197.17</v>
      </c>
      <c r="M17" s="34">
        <v>0.32</v>
      </c>
      <c r="N17" s="34">
        <v>1.115</v>
      </c>
      <c r="O17" s="36">
        <v>56.67</v>
      </c>
      <c r="P17" s="147"/>
    </row>
    <row r="18" spans="1:16" x14ac:dyDescent="0.3">
      <c r="A18" s="133" t="s">
        <v>89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51"/>
      <c r="P18" s="147"/>
    </row>
    <row r="19" spans="1:16" ht="27.6" x14ac:dyDescent="0.3">
      <c r="A19" s="39" t="s">
        <v>102</v>
      </c>
      <c r="B19" s="40">
        <v>2017</v>
      </c>
      <c r="C19" s="40">
        <v>102</v>
      </c>
      <c r="D19" s="41">
        <v>200</v>
      </c>
      <c r="E19" s="34">
        <v>4.3899999999999997</v>
      </c>
      <c r="F19" s="34">
        <v>4.22</v>
      </c>
      <c r="G19" s="34">
        <v>13.06</v>
      </c>
      <c r="H19" s="34">
        <v>107.8</v>
      </c>
      <c r="I19" s="34">
        <v>30.46</v>
      </c>
      <c r="J19" s="34">
        <v>22.24</v>
      </c>
      <c r="K19" s="34">
        <v>1.62</v>
      </c>
      <c r="L19" s="34">
        <v>69.739999999999995</v>
      </c>
      <c r="M19" s="34">
        <v>0.18</v>
      </c>
      <c r="N19" s="34">
        <v>4.6500000000000004</v>
      </c>
      <c r="O19" s="36">
        <v>0</v>
      </c>
      <c r="P19" s="147"/>
    </row>
    <row r="20" spans="1:16" x14ac:dyDescent="0.3">
      <c r="A20" s="42" t="s">
        <v>17</v>
      </c>
      <c r="B20" s="40">
        <v>2017</v>
      </c>
      <c r="C20" s="40">
        <v>288</v>
      </c>
      <c r="D20" s="41">
        <v>10</v>
      </c>
      <c r="E20" s="34">
        <v>2.11</v>
      </c>
      <c r="F20" s="34">
        <v>1.36</v>
      </c>
      <c r="G20" s="34">
        <v>0</v>
      </c>
      <c r="H20" s="34">
        <v>20.67</v>
      </c>
      <c r="I20" s="34">
        <v>3.9</v>
      </c>
      <c r="J20" s="34">
        <v>2</v>
      </c>
      <c r="K20" s="34">
        <v>0.18</v>
      </c>
      <c r="L20" s="34">
        <v>14.3</v>
      </c>
      <c r="M20" s="34">
        <v>0.04</v>
      </c>
      <c r="N20" s="34">
        <v>0</v>
      </c>
      <c r="O20" s="36">
        <v>2.2799999999999998</v>
      </c>
      <c r="P20" s="147"/>
    </row>
    <row r="21" spans="1:16" x14ac:dyDescent="0.3">
      <c r="A21" s="39" t="s">
        <v>18</v>
      </c>
      <c r="B21" s="40">
        <v>2017</v>
      </c>
      <c r="C21" s="40">
        <v>255</v>
      </c>
      <c r="D21" s="41">
        <v>90</v>
      </c>
      <c r="E21" s="34">
        <v>9.93</v>
      </c>
      <c r="F21" s="34">
        <v>10.107000000000001</v>
      </c>
      <c r="G21" s="34">
        <v>3.1680000000000001</v>
      </c>
      <c r="H21" s="34">
        <v>166.5</v>
      </c>
      <c r="I21" s="34">
        <v>29.916000000000004</v>
      </c>
      <c r="J21" s="34">
        <v>15.722999999999999</v>
      </c>
      <c r="K21" s="34">
        <v>4.2699999999999996</v>
      </c>
      <c r="L21" s="34">
        <v>215.38800000000001</v>
      </c>
      <c r="M21" s="34">
        <v>0.18</v>
      </c>
      <c r="N21" s="34">
        <v>7.6049999999999986</v>
      </c>
      <c r="O21" s="36">
        <v>321.327</v>
      </c>
      <c r="P21" s="147"/>
    </row>
    <row r="22" spans="1:16" s="101" customFormat="1" x14ac:dyDescent="0.3">
      <c r="A22" s="39" t="s">
        <v>19</v>
      </c>
      <c r="B22" s="40">
        <v>2017</v>
      </c>
      <c r="C22" s="40">
        <v>302</v>
      </c>
      <c r="D22" s="41">
        <v>150</v>
      </c>
      <c r="E22" s="34">
        <v>3.83</v>
      </c>
      <c r="F22" s="34">
        <v>5.17</v>
      </c>
      <c r="G22" s="34">
        <v>35.840000000000003</v>
      </c>
      <c r="H22" s="34">
        <v>230.45</v>
      </c>
      <c r="I22" s="34">
        <v>12.98</v>
      </c>
      <c r="J22" s="34">
        <v>29.46</v>
      </c>
      <c r="K22" s="34">
        <v>3.95</v>
      </c>
      <c r="L22" s="34">
        <v>108.5</v>
      </c>
      <c r="M22" s="34">
        <v>0.1</v>
      </c>
      <c r="N22" s="34">
        <v>0</v>
      </c>
      <c r="O22" s="36">
        <v>2.2799999999999997E-2</v>
      </c>
      <c r="P22" s="147"/>
    </row>
    <row r="23" spans="1:16" x14ac:dyDescent="0.3">
      <c r="A23" s="82" t="s">
        <v>20</v>
      </c>
      <c r="B23" s="10">
        <v>2017</v>
      </c>
      <c r="C23" s="10">
        <v>71</v>
      </c>
      <c r="D23" s="84">
        <v>60</v>
      </c>
      <c r="E23" s="15">
        <v>2.16</v>
      </c>
      <c r="F23" s="15">
        <v>4.04</v>
      </c>
      <c r="G23" s="15">
        <v>1.01</v>
      </c>
      <c r="H23" s="15">
        <v>48.79</v>
      </c>
      <c r="I23" s="15">
        <v>13.8</v>
      </c>
      <c r="J23" s="15">
        <v>7</v>
      </c>
      <c r="K23" s="15">
        <v>0.42</v>
      </c>
      <c r="L23" s="15">
        <v>12</v>
      </c>
      <c r="M23" s="15">
        <v>0</v>
      </c>
      <c r="N23" s="15">
        <v>14.4</v>
      </c>
      <c r="O23" s="16">
        <v>0</v>
      </c>
      <c r="P23" s="147"/>
    </row>
    <row r="24" spans="1:16" ht="14.4" customHeight="1" x14ac:dyDescent="0.3">
      <c r="A24" s="39" t="s">
        <v>21</v>
      </c>
      <c r="B24" s="40" t="s">
        <v>78</v>
      </c>
      <c r="C24" s="40" t="s">
        <v>78</v>
      </c>
      <c r="D24" s="41">
        <v>20</v>
      </c>
      <c r="E24" s="34">
        <v>1.58</v>
      </c>
      <c r="F24" s="34">
        <v>0.2</v>
      </c>
      <c r="G24" s="34">
        <v>9.66</v>
      </c>
      <c r="H24" s="34">
        <v>46.76</v>
      </c>
      <c r="I24" s="34">
        <v>4.5999999999999996</v>
      </c>
      <c r="J24" s="34">
        <v>6.6</v>
      </c>
      <c r="K24" s="34">
        <v>0.22</v>
      </c>
      <c r="L24" s="34">
        <v>17.399999999999999</v>
      </c>
      <c r="M24" s="34">
        <v>0.08</v>
      </c>
      <c r="N24" s="34">
        <v>0</v>
      </c>
      <c r="O24" s="36">
        <v>0</v>
      </c>
      <c r="P24" s="147"/>
    </row>
    <row r="25" spans="1:16" ht="14.4" customHeight="1" x14ac:dyDescent="0.3">
      <c r="A25" s="39" t="s">
        <v>22</v>
      </c>
      <c r="B25" s="40" t="s">
        <v>78</v>
      </c>
      <c r="C25" s="40" t="s">
        <v>78</v>
      </c>
      <c r="D25" s="40">
        <v>40</v>
      </c>
      <c r="E25" s="34">
        <v>2.2400000000000002</v>
      </c>
      <c r="F25" s="34">
        <v>0.44</v>
      </c>
      <c r="G25" s="34">
        <v>19.760000000000002</v>
      </c>
      <c r="H25" s="34">
        <v>91.96</v>
      </c>
      <c r="I25" s="34">
        <v>9.1999999999999993</v>
      </c>
      <c r="J25" s="34">
        <v>10</v>
      </c>
      <c r="K25" s="34">
        <v>1.24</v>
      </c>
      <c r="L25" s="34">
        <v>42.4</v>
      </c>
      <c r="M25" s="34">
        <v>0.04</v>
      </c>
      <c r="N25" s="34">
        <v>0</v>
      </c>
      <c r="O25" s="36">
        <v>0</v>
      </c>
      <c r="P25" s="147"/>
    </row>
    <row r="26" spans="1:16" x14ac:dyDescent="0.3">
      <c r="A26" s="98" t="s">
        <v>23</v>
      </c>
      <c r="B26" s="99">
        <v>2017</v>
      </c>
      <c r="C26" s="99">
        <v>349</v>
      </c>
      <c r="D26" s="99">
        <v>200</v>
      </c>
      <c r="E26" s="100">
        <v>0.04</v>
      </c>
      <c r="F26" s="100">
        <v>0</v>
      </c>
      <c r="G26" s="100">
        <v>24.76</v>
      </c>
      <c r="H26" s="100">
        <v>94.2</v>
      </c>
      <c r="I26" s="100">
        <v>6.4</v>
      </c>
      <c r="J26" s="100">
        <v>0</v>
      </c>
      <c r="K26" s="100">
        <v>0.18</v>
      </c>
      <c r="L26" s="100">
        <v>3.6</v>
      </c>
      <c r="M26" s="100">
        <v>0.01</v>
      </c>
      <c r="N26" s="100">
        <v>1.08</v>
      </c>
      <c r="O26" s="100">
        <v>0</v>
      </c>
      <c r="P26" s="147"/>
    </row>
    <row r="27" spans="1:16" s="69" customFormat="1" x14ac:dyDescent="0.3">
      <c r="A27" s="39" t="s">
        <v>16</v>
      </c>
      <c r="B27" s="40"/>
      <c r="C27" s="40"/>
      <c r="D27" s="44">
        <v>770</v>
      </c>
      <c r="E27" s="34">
        <f>SUM(E19:E26)</f>
        <v>26.28</v>
      </c>
      <c r="F27" s="34">
        <f>SUM(F19:F26)</f>
        <v>25.536999999999999</v>
      </c>
      <c r="G27" s="34">
        <f>SUM(G19:G26)</f>
        <v>107.25800000000001</v>
      </c>
      <c r="H27" s="34">
        <f>SUM(H19:H26)</f>
        <v>807.13000000000011</v>
      </c>
      <c r="I27" s="34">
        <v>111.25600000000001</v>
      </c>
      <c r="J27" s="34">
        <f>SUM(J19:J26)</f>
        <v>93.022999999999996</v>
      </c>
      <c r="K27" s="34">
        <f>SUM(K19:K26)</f>
        <v>12.08</v>
      </c>
      <c r="L27" s="34">
        <v>483.32799999999997</v>
      </c>
      <c r="M27" s="34">
        <v>0.63</v>
      </c>
      <c r="N27" s="34">
        <v>27.734999999999999</v>
      </c>
      <c r="O27" s="36">
        <v>323.62979999999999</v>
      </c>
      <c r="P27" s="147"/>
    </row>
    <row r="28" spans="1:16" s="62" customFormat="1" x14ac:dyDescent="0.3">
      <c r="A28" s="67" t="s">
        <v>24</v>
      </c>
      <c r="B28" s="108"/>
      <c r="C28" s="108"/>
      <c r="D28" s="68">
        <v>1275</v>
      </c>
      <c r="E28" s="68">
        <f>E27+E17</f>
        <v>41.84</v>
      </c>
      <c r="F28" s="68">
        <f>F27+F17</f>
        <v>40.986999999999995</v>
      </c>
      <c r="G28" s="68">
        <f>G27+G17</f>
        <v>186.678</v>
      </c>
      <c r="H28" s="68">
        <f>H27+H17</f>
        <v>1281.3300000000002</v>
      </c>
      <c r="I28" s="68">
        <v>424.10599999999999</v>
      </c>
      <c r="J28" s="68">
        <f>J27+J17</f>
        <v>177.51299999999998</v>
      </c>
      <c r="K28" s="68">
        <f>K27+K17</f>
        <v>14.78</v>
      </c>
      <c r="L28" s="68">
        <v>680.49799999999993</v>
      </c>
      <c r="M28" s="68">
        <v>0.95</v>
      </c>
      <c r="N28" s="68">
        <v>28.849999999999998</v>
      </c>
      <c r="O28" s="109">
        <v>380.2998</v>
      </c>
      <c r="P28" s="147"/>
    </row>
    <row r="29" spans="1:16" s="62" customFormat="1" x14ac:dyDescent="0.3">
      <c r="A29" s="136" t="s">
        <v>33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92"/>
    </row>
    <row r="30" spans="1:16" s="62" customFormat="1" x14ac:dyDescent="0.3">
      <c r="A30" s="135" t="s">
        <v>88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7"/>
      <c r="P30" s="96"/>
    </row>
    <row r="31" spans="1:16" ht="28.2" x14ac:dyDescent="0.3">
      <c r="A31" s="32" t="s">
        <v>32</v>
      </c>
      <c r="B31" s="40">
        <v>2017</v>
      </c>
      <c r="C31" s="40" t="s">
        <v>85</v>
      </c>
      <c r="D31" s="44">
        <v>200</v>
      </c>
      <c r="E31" s="44">
        <v>12.45</v>
      </c>
      <c r="F31" s="44">
        <v>11.28</v>
      </c>
      <c r="G31" s="44">
        <v>35.76</v>
      </c>
      <c r="H31" s="44">
        <v>295.06</v>
      </c>
      <c r="I31" s="34">
        <v>264.41000000000003</v>
      </c>
      <c r="J31" s="34">
        <v>38.68</v>
      </c>
      <c r="K31" s="34">
        <v>0.91</v>
      </c>
      <c r="L31" s="34">
        <v>330.96</v>
      </c>
      <c r="M31" s="34">
        <v>0.06</v>
      </c>
      <c r="N31" s="34">
        <v>0.28999999999999998</v>
      </c>
      <c r="O31" s="36">
        <f>91*1.14</f>
        <v>103.74</v>
      </c>
      <c r="P31" s="145" t="s">
        <v>33</v>
      </c>
    </row>
    <row r="32" spans="1:16" x14ac:dyDescent="0.3">
      <c r="A32" s="35" t="s">
        <v>13</v>
      </c>
      <c r="B32" s="44" t="s">
        <v>78</v>
      </c>
      <c r="C32" s="44" t="s">
        <v>78</v>
      </c>
      <c r="D32" s="33">
        <v>30</v>
      </c>
      <c r="E32" s="34">
        <f>4.74/2</f>
        <v>2.37</v>
      </c>
      <c r="F32" s="34">
        <v>0.3</v>
      </c>
      <c r="G32" s="34">
        <f>28.98/2</f>
        <v>14.49</v>
      </c>
      <c r="H32" s="34">
        <v>70.14</v>
      </c>
      <c r="I32" s="34">
        <f>13.8/2</f>
        <v>6.9</v>
      </c>
      <c r="J32" s="34">
        <f>19.8/2</f>
        <v>9.9</v>
      </c>
      <c r="K32" s="34">
        <v>0.33</v>
      </c>
      <c r="L32" s="34">
        <f>52.2/2</f>
        <v>26.1</v>
      </c>
      <c r="M32" s="34">
        <v>0.05</v>
      </c>
      <c r="N32" s="34">
        <v>0</v>
      </c>
      <c r="O32" s="36">
        <v>0</v>
      </c>
      <c r="P32" s="142"/>
    </row>
    <row r="33" spans="1:16" ht="12" customHeight="1" x14ac:dyDescent="0.3">
      <c r="A33" s="45" t="s">
        <v>27</v>
      </c>
      <c r="B33" s="44">
        <v>2017</v>
      </c>
      <c r="C33" s="44">
        <v>379</v>
      </c>
      <c r="D33" s="44">
        <v>200</v>
      </c>
      <c r="E33" s="34">
        <v>3.6</v>
      </c>
      <c r="F33" s="34">
        <v>2.67</v>
      </c>
      <c r="G33" s="34">
        <v>29.2</v>
      </c>
      <c r="H33" s="34">
        <v>155.19999999999999</v>
      </c>
      <c r="I33" s="34">
        <v>158.66999999999999</v>
      </c>
      <c r="J33" s="34">
        <v>6.8</v>
      </c>
      <c r="K33" s="34">
        <v>0.22</v>
      </c>
      <c r="L33" s="34">
        <v>82.4</v>
      </c>
      <c r="M33" s="34">
        <v>7.0000000000000007E-2</v>
      </c>
      <c r="N33" s="34">
        <v>1.17</v>
      </c>
      <c r="O33" s="36">
        <f>6*1.14</f>
        <v>6.84</v>
      </c>
      <c r="P33" s="142"/>
    </row>
    <row r="34" spans="1:16" x14ac:dyDescent="0.3">
      <c r="A34" s="35" t="s">
        <v>15</v>
      </c>
      <c r="B34" s="44">
        <v>2017</v>
      </c>
      <c r="C34" s="44">
        <v>338</v>
      </c>
      <c r="D34" s="33">
        <v>100</v>
      </c>
      <c r="E34" s="34">
        <v>0.8</v>
      </c>
      <c r="F34" s="34">
        <v>5.5</v>
      </c>
      <c r="G34" s="34">
        <v>4.3</v>
      </c>
      <c r="H34" s="34">
        <v>67.099999999999994</v>
      </c>
      <c r="I34" s="34">
        <v>17.3</v>
      </c>
      <c r="J34" s="34">
        <v>3.9</v>
      </c>
      <c r="K34" s="34">
        <v>0.2</v>
      </c>
      <c r="L34" s="34">
        <v>21.2</v>
      </c>
      <c r="M34" s="34">
        <v>0</v>
      </c>
      <c r="N34" s="34">
        <v>1.8</v>
      </c>
      <c r="O34" s="36">
        <v>0</v>
      </c>
      <c r="P34" s="142"/>
    </row>
    <row r="35" spans="1:16" ht="25.2" customHeight="1" x14ac:dyDescent="0.3">
      <c r="A35" s="39" t="s">
        <v>16</v>
      </c>
      <c r="B35" s="40"/>
      <c r="C35" s="40"/>
      <c r="D35" s="44">
        <f t="shared" ref="D35:O35" si="0">SUM(D31:D34)</f>
        <v>530</v>
      </c>
      <c r="E35" s="34">
        <f>SUM(E31:E34)</f>
        <v>19.220000000000002</v>
      </c>
      <c r="F35" s="34">
        <f>SUM(F31:F34)</f>
        <v>19.75</v>
      </c>
      <c r="G35" s="34">
        <f>SUM(G31:G34)</f>
        <v>83.75</v>
      </c>
      <c r="H35" s="34">
        <f>SUM(H31:H34)</f>
        <v>587.5</v>
      </c>
      <c r="I35" s="34">
        <f t="shared" si="0"/>
        <v>447.28000000000003</v>
      </c>
      <c r="J35" s="34">
        <f t="shared" si="0"/>
        <v>59.279999999999994</v>
      </c>
      <c r="K35" s="34">
        <f t="shared" si="0"/>
        <v>1.66</v>
      </c>
      <c r="L35" s="34">
        <f>SUM(L31:L34)</f>
        <v>460.66</v>
      </c>
      <c r="M35" s="34">
        <f t="shared" si="0"/>
        <v>0.18</v>
      </c>
      <c r="N35" s="34">
        <f t="shared" si="0"/>
        <v>3.26</v>
      </c>
      <c r="O35" s="36">
        <f t="shared" si="0"/>
        <v>110.58</v>
      </c>
      <c r="P35" s="142"/>
    </row>
    <row r="36" spans="1:16" ht="40.200000000000003" customHeight="1" x14ac:dyDescent="0.3">
      <c r="A36" s="135" t="s">
        <v>89</v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7"/>
      <c r="P36" s="142"/>
    </row>
    <row r="37" spans="1:16" ht="28.2" x14ac:dyDescent="0.3">
      <c r="A37" s="32" t="s">
        <v>30</v>
      </c>
      <c r="B37" s="41">
        <v>2017</v>
      </c>
      <c r="C37" s="40">
        <v>112</v>
      </c>
      <c r="D37" s="44">
        <v>200</v>
      </c>
      <c r="E37" s="34">
        <v>2.15</v>
      </c>
      <c r="F37" s="34">
        <v>3.67</v>
      </c>
      <c r="G37" s="34">
        <v>13.71</v>
      </c>
      <c r="H37" s="34">
        <v>83.8</v>
      </c>
      <c r="I37" s="34">
        <v>19.68</v>
      </c>
      <c r="J37" s="34">
        <v>18.600000000000001</v>
      </c>
      <c r="K37" s="34">
        <v>0.87</v>
      </c>
      <c r="L37" s="34">
        <v>21.32</v>
      </c>
      <c r="M37" s="34">
        <v>0.09</v>
      </c>
      <c r="N37" s="34">
        <v>6.6</v>
      </c>
      <c r="O37" s="36">
        <v>18.239999999999998</v>
      </c>
      <c r="P37" s="142"/>
    </row>
    <row r="38" spans="1:16" x14ac:dyDescent="0.3">
      <c r="A38" s="42" t="s">
        <v>17</v>
      </c>
      <c r="B38" s="41">
        <v>2017</v>
      </c>
      <c r="C38" s="40">
        <v>288</v>
      </c>
      <c r="D38" s="41">
        <v>10</v>
      </c>
      <c r="E38" s="34">
        <v>2.11</v>
      </c>
      <c r="F38" s="34">
        <v>1.36</v>
      </c>
      <c r="G38" s="34">
        <v>0</v>
      </c>
      <c r="H38" s="34">
        <v>20.67</v>
      </c>
      <c r="I38" s="34">
        <v>3.9</v>
      </c>
      <c r="J38" s="34">
        <v>2</v>
      </c>
      <c r="K38" s="34">
        <v>0.18</v>
      </c>
      <c r="L38" s="34">
        <v>14.3</v>
      </c>
      <c r="M38" s="34">
        <v>0.04</v>
      </c>
      <c r="N38" s="34">
        <v>0</v>
      </c>
      <c r="O38" s="36">
        <v>2.2799999999999998</v>
      </c>
      <c r="P38" s="142"/>
    </row>
    <row r="39" spans="1:16" ht="15" customHeight="1" x14ac:dyDescent="0.3">
      <c r="A39" s="32" t="s">
        <v>44</v>
      </c>
      <c r="B39" s="40">
        <v>2017</v>
      </c>
      <c r="C39" s="110" t="s">
        <v>87</v>
      </c>
      <c r="D39" s="44">
        <v>90</v>
      </c>
      <c r="E39" s="34">
        <v>11.99</v>
      </c>
      <c r="F39" s="34">
        <v>12.05</v>
      </c>
      <c r="G39" s="34">
        <v>8.67</v>
      </c>
      <c r="H39" s="34">
        <v>188.9</v>
      </c>
      <c r="I39" s="34">
        <v>187.3</v>
      </c>
      <c r="J39" s="34">
        <v>21.1</v>
      </c>
      <c r="K39" s="34">
        <v>0.59</v>
      </c>
      <c r="L39" s="34">
        <v>77.7</v>
      </c>
      <c r="M39" s="34">
        <v>0.06</v>
      </c>
      <c r="N39" s="34">
        <v>0.82</v>
      </c>
      <c r="O39" s="36">
        <v>296.15000000000038</v>
      </c>
      <c r="P39" s="142"/>
    </row>
    <row r="40" spans="1:16" x14ac:dyDescent="0.3">
      <c r="A40" s="35" t="s">
        <v>28</v>
      </c>
      <c r="B40" s="44">
        <v>2017</v>
      </c>
      <c r="C40" s="44">
        <v>304</v>
      </c>
      <c r="D40" s="44">
        <v>150</v>
      </c>
      <c r="E40" s="34">
        <v>3.67</v>
      </c>
      <c r="F40" s="34">
        <v>5.42</v>
      </c>
      <c r="G40" s="34">
        <v>36.67</v>
      </c>
      <c r="H40" s="34">
        <v>210.11</v>
      </c>
      <c r="I40" s="34">
        <v>19.77</v>
      </c>
      <c r="J40" s="34">
        <v>13.11</v>
      </c>
      <c r="K40" s="34">
        <v>0</v>
      </c>
      <c r="L40" s="34">
        <v>17.600000000000001</v>
      </c>
      <c r="M40" s="34">
        <v>0.05</v>
      </c>
      <c r="N40" s="34">
        <v>0</v>
      </c>
      <c r="O40" s="36">
        <v>0.15390000000000001</v>
      </c>
      <c r="P40" s="142"/>
    </row>
    <row r="41" spans="1:16" x14ac:dyDescent="0.3">
      <c r="A41" s="35" t="s">
        <v>59</v>
      </c>
      <c r="B41" s="44">
        <v>2017</v>
      </c>
      <c r="C41" s="44">
        <v>49</v>
      </c>
      <c r="D41" s="44">
        <v>60</v>
      </c>
      <c r="E41" s="34">
        <v>1.5588</v>
      </c>
      <c r="F41" s="34">
        <v>3.7320000000000002</v>
      </c>
      <c r="G41" s="34">
        <v>13.289400000000002</v>
      </c>
      <c r="H41" s="34">
        <v>92.94</v>
      </c>
      <c r="I41" s="65">
        <v>44.886000000000003</v>
      </c>
      <c r="J41" s="65">
        <v>23.67</v>
      </c>
      <c r="K41" s="65">
        <v>0.28999999999999998</v>
      </c>
      <c r="L41" s="65">
        <v>12.87</v>
      </c>
      <c r="M41" s="65">
        <v>0.16200000000000003</v>
      </c>
      <c r="N41" s="65">
        <v>3.67</v>
      </c>
      <c r="O41" s="71">
        <v>21.37</v>
      </c>
      <c r="P41" s="142"/>
    </row>
    <row r="42" spans="1:16" x14ac:dyDescent="0.3">
      <c r="A42" s="42" t="s">
        <v>26</v>
      </c>
      <c r="B42" s="40">
        <v>2017</v>
      </c>
      <c r="C42" s="40">
        <v>377</v>
      </c>
      <c r="D42" s="44">
        <v>200</v>
      </c>
      <c r="E42" s="44">
        <v>0.13</v>
      </c>
      <c r="F42" s="44">
        <v>0.02</v>
      </c>
      <c r="G42" s="44">
        <v>10.25</v>
      </c>
      <c r="H42" s="44">
        <v>41.68</v>
      </c>
      <c r="I42" s="44">
        <v>14.05</v>
      </c>
      <c r="J42" s="44">
        <v>2.4</v>
      </c>
      <c r="K42" s="44">
        <v>0.38</v>
      </c>
      <c r="L42" s="44">
        <v>4.4000000000000004</v>
      </c>
      <c r="M42" s="44">
        <v>0</v>
      </c>
      <c r="N42" s="44">
        <v>2.83</v>
      </c>
      <c r="O42" s="46">
        <v>0</v>
      </c>
      <c r="P42" s="142"/>
    </row>
    <row r="43" spans="1:16" x14ac:dyDescent="0.3">
      <c r="A43" s="39" t="s">
        <v>21</v>
      </c>
      <c r="B43" s="40" t="s">
        <v>78</v>
      </c>
      <c r="C43" s="40" t="s">
        <v>78</v>
      </c>
      <c r="D43" s="41">
        <v>20</v>
      </c>
      <c r="E43" s="34">
        <v>1.58</v>
      </c>
      <c r="F43" s="34">
        <v>0.2</v>
      </c>
      <c r="G43" s="34">
        <v>9.66</v>
      </c>
      <c r="H43" s="34">
        <v>46.76</v>
      </c>
      <c r="I43" s="34">
        <v>4.5999999999999996</v>
      </c>
      <c r="J43" s="34">
        <v>6.6</v>
      </c>
      <c r="K43" s="34">
        <v>0.22</v>
      </c>
      <c r="L43" s="34">
        <v>17.399999999999999</v>
      </c>
      <c r="M43" s="34">
        <v>0.08</v>
      </c>
      <c r="N43" s="34">
        <v>0</v>
      </c>
      <c r="O43" s="36">
        <v>0</v>
      </c>
      <c r="P43" s="142"/>
    </row>
    <row r="44" spans="1:16" x14ac:dyDescent="0.3">
      <c r="A44" s="39" t="s">
        <v>22</v>
      </c>
      <c r="B44" s="40" t="s">
        <v>78</v>
      </c>
      <c r="C44" s="40" t="s">
        <v>78</v>
      </c>
      <c r="D44" s="40">
        <v>40</v>
      </c>
      <c r="E44" s="34">
        <v>2.2400000000000002</v>
      </c>
      <c r="F44" s="34">
        <v>0.44</v>
      </c>
      <c r="G44" s="34">
        <v>19.760000000000002</v>
      </c>
      <c r="H44" s="34">
        <v>91.96</v>
      </c>
      <c r="I44" s="34">
        <v>9.1999999999999993</v>
      </c>
      <c r="J44" s="34">
        <v>10</v>
      </c>
      <c r="K44" s="34">
        <v>1.24</v>
      </c>
      <c r="L44" s="34">
        <v>42.4</v>
      </c>
      <c r="M44" s="34">
        <v>0.04</v>
      </c>
      <c r="N44" s="34">
        <v>0</v>
      </c>
      <c r="O44" s="36">
        <v>0</v>
      </c>
      <c r="P44" s="142"/>
    </row>
    <row r="45" spans="1:16" s="62" customFormat="1" x14ac:dyDescent="0.3">
      <c r="A45" s="67" t="s">
        <v>16</v>
      </c>
      <c r="B45" s="108"/>
      <c r="C45" s="108"/>
      <c r="D45" s="111">
        <v>770</v>
      </c>
      <c r="E45" s="68">
        <f>SUM(E37:E44)</f>
        <v>25.428800000000003</v>
      </c>
      <c r="F45" s="68">
        <f>SUM(F37:F44)</f>
        <v>26.891999999999999</v>
      </c>
      <c r="G45" s="68">
        <f>SUM(G37:G44)</f>
        <v>112.00940000000001</v>
      </c>
      <c r="H45" s="68">
        <f>SUM(H37:H44)</f>
        <v>776.82</v>
      </c>
      <c r="I45" s="68">
        <f t="shared" ref="I45:O45" si="1">SUM(I37:I44)</f>
        <v>303.38600000000002</v>
      </c>
      <c r="J45" s="68">
        <f t="shared" si="1"/>
        <v>97.48</v>
      </c>
      <c r="K45" s="68">
        <f t="shared" si="1"/>
        <v>3.7700000000000005</v>
      </c>
      <c r="L45" s="68">
        <f t="shared" si="1"/>
        <v>207.99000000000004</v>
      </c>
      <c r="M45" s="68">
        <f t="shared" si="1"/>
        <v>0.52200000000000002</v>
      </c>
      <c r="N45" s="68">
        <f t="shared" si="1"/>
        <v>13.92</v>
      </c>
      <c r="O45" s="109">
        <f t="shared" si="1"/>
        <v>338.19390000000038</v>
      </c>
      <c r="P45" s="142"/>
    </row>
    <row r="46" spans="1:16" s="62" customFormat="1" x14ac:dyDescent="0.3">
      <c r="A46" s="67" t="s">
        <v>24</v>
      </c>
      <c r="B46" s="108"/>
      <c r="C46" s="108"/>
      <c r="D46" s="111">
        <f t="shared" ref="D46:O46" si="2">D45+D35</f>
        <v>1300</v>
      </c>
      <c r="E46" s="68">
        <f t="shared" si="2"/>
        <v>44.648800000000008</v>
      </c>
      <c r="F46" s="68">
        <f>F45+F35</f>
        <v>46.641999999999996</v>
      </c>
      <c r="G46" s="68">
        <f>G45+G35</f>
        <v>195.75940000000003</v>
      </c>
      <c r="H46" s="68">
        <f>H45+H35</f>
        <v>1364.3200000000002</v>
      </c>
      <c r="I46" s="68">
        <f t="shared" si="2"/>
        <v>750.66600000000005</v>
      </c>
      <c r="J46" s="68">
        <f t="shared" si="2"/>
        <v>156.76</v>
      </c>
      <c r="K46" s="68">
        <f t="shared" si="2"/>
        <v>5.4300000000000006</v>
      </c>
      <c r="L46" s="68">
        <f t="shared" si="2"/>
        <v>668.65000000000009</v>
      </c>
      <c r="M46" s="68">
        <f t="shared" si="2"/>
        <v>0.70199999999999996</v>
      </c>
      <c r="N46" s="68">
        <f t="shared" si="2"/>
        <v>17.18</v>
      </c>
      <c r="O46" s="109">
        <f t="shared" si="2"/>
        <v>448.77390000000037</v>
      </c>
      <c r="P46" s="143"/>
    </row>
    <row r="47" spans="1:16" s="62" customFormat="1" x14ac:dyDescent="0.3">
      <c r="A47" s="138" t="s">
        <v>40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96"/>
    </row>
    <row r="48" spans="1:16" s="62" customFormat="1" x14ac:dyDescent="0.3">
      <c r="A48" s="132" t="s">
        <v>88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45" t="s">
        <v>40</v>
      </c>
    </row>
    <row r="49" spans="1:16" s="1" customFormat="1" ht="28.2" x14ac:dyDescent="0.3">
      <c r="A49" s="47" t="s">
        <v>34</v>
      </c>
      <c r="B49" s="40">
        <v>2017</v>
      </c>
      <c r="C49" s="40">
        <v>175</v>
      </c>
      <c r="D49" s="44">
        <v>210</v>
      </c>
      <c r="E49" s="34">
        <v>10.44</v>
      </c>
      <c r="F49" s="34">
        <v>13.54</v>
      </c>
      <c r="G49" s="34">
        <v>15.33</v>
      </c>
      <c r="H49" s="34">
        <v>221.1</v>
      </c>
      <c r="I49" s="44">
        <v>158.6</v>
      </c>
      <c r="J49" s="44">
        <v>26.7</v>
      </c>
      <c r="K49" s="44">
        <v>0.75</v>
      </c>
      <c r="L49" s="44">
        <v>157.30000000000001</v>
      </c>
      <c r="M49" s="44">
        <v>0.12</v>
      </c>
      <c r="N49" s="44">
        <v>1.2</v>
      </c>
      <c r="O49" s="36">
        <f>81*1.14</f>
        <v>92.339999999999989</v>
      </c>
      <c r="P49" s="142"/>
    </row>
    <row r="50" spans="1:16" x14ac:dyDescent="0.3">
      <c r="A50" s="35" t="s">
        <v>13</v>
      </c>
      <c r="B50" s="40" t="s">
        <v>78</v>
      </c>
      <c r="C50" s="40" t="s">
        <v>78</v>
      </c>
      <c r="D50" s="34">
        <v>60</v>
      </c>
      <c r="E50" s="34">
        <v>4.74</v>
      </c>
      <c r="F50" s="34">
        <v>0.6</v>
      </c>
      <c r="G50" s="34">
        <v>28.98</v>
      </c>
      <c r="H50" s="34">
        <v>140.28</v>
      </c>
      <c r="I50" s="34">
        <v>13.8</v>
      </c>
      <c r="J50" s="34">
        <v>19.8</v>
      </c>
      <c r="K50" s="34">
        <v>0.66</v>
      </c>
      <c r="L50" s="34">
        <v>52.2</v>
      </c>
      <c r="M50" s="34">
        <v>0.1</v>
      </c>
      <c r="N50" s="34">
        <v>0</v>
      </c>
      <c r="O50" s="36">
        <v>0</v>
      </c>
      <c r="P50" s="142"/>
    </row>
    <row r="51" spans="1:16" x14ac:dyDescent="0.3">
      <c r="A51" s="35" t="s">
        <v>42</v>
      </c>
      <c r="B51" s="40" t="s">
        <v>78</v>
      </c>
      <c r="C51" s="40" t="s">
        <v>78</v>
      </c>
      <c r="D51" s="44">
        <v>30</v>
      </c>
      <c r="E51" s="44">
        <f>0.38*30/20</f>
        <v>0.57000000000000006</v>
      </c>
      <c r="F51" s="44">
        <v>1.62</v>
      </c>
      <c r="G51" s="44">
        <v>9.6199999999999992</v>
      </c>
      <c r="H51" s="44">
        <f>82.9*30/20</f>
        <v>124.35</v>
      </c>
      <c r="I51" s="44">
        <f>8.2*30/20</f>
        <v>12.299999999999999</v>
      </c>
      <c r="J51" s="44">
        <f>3*30/20</f>
        <v>4.5</v>
      </c>
      <c r="K51" s="44">
        <f>0.2*30/20</f>
        <v>0.3</v>
      </c>
      <c r="L51" s="44">
        <f>17.4*30/20</f>
        <v>26.1</v>
      </c>
      <c r="M51" s="44">
        <f>0.02*30/20</f>
        <v>0.03</v>
      </c>
      <c r="N51" s="44">
        <v>0</v>
      </c>
      <c r="O51" s="44">
        <f>19.5*1.14</f>
        <v>22.229999999999997</v>
      </c>
      <c r="P51" s="142"/>
    </row>
    <row r="52" spans="1:16" x14ac:dyDescent="0.3">
      <c r="A52" s="45" t="s">
        <v>35</v>
      </c>
      <c r="B52" s="44">
        <v>2017</v>
      </c>
      <c r="C52" s="44">
        <v>8</v>
      </c>
      <c r="D52" s="44">
        <v>200</v>
      </c>
      <c r="E52" s="34">
        <f>0.61*200/180</f>
        <v>0.67777777777777781</v>
      </c>
      <c r="F52" s="34">
        <f>0.25*200/180</f>
        <v>0.27777777777777779</v>
      </c>
      <c r="G52" s="34">
        <f>16.18*200/180</f>
        <v>17.977777777777778</v>
      </c>
      <c r="H52" s="34">
        <f>69.41*200/180</f>
        <v>77.12222222222222</v>
      </c>
      <c r="I52" s="34">
        <f>19.2*200/180</f>
        <v>21.333333333333332</v>
      </c>
      <c r="J52" s="34">
        <f>3.1*200/180</f>
        <v>3.4444444444444446</v>
      </c>
      <c r="K52" s="34">
        <f>0.57*200/180</f>
        <v>0.6333333333333333</v>
      </c>
      <c r="L52" s="34">
        <f>3.1*200/180</f>
        <v>3.4444444444444446</v>
      </c>
      <c r="M52" s="34">
        <v>0.01</v>
      </c>
      <c r="N52" s="34">
        <v>19</v>
      </c>
      <c r="O52" s="36">
        <v>0</v>
      </c>
      <c r="P52" s="142"/>
    </row>
    <row r="53" spans="1:16" x14ac:dyDescent="0.3">
      <c r="A53" s="39" t="s">
        <v>16</v>
      </c>
      <c r="B53" s="40"/>
      <c r="C53" s="40"/>
      <c r="D53" s="44">
        <f t="shared" ref="D53:O53" si="3">SUM(D49:D52)</f>
        <v>500</v>
      </c>
      <c r="E53" s="34">
        <f>SUM(E49:E52)</f>
        <v>16.427777777777777</v>
      </c>
      <c r="F53" s="34">
        <f>SUM(F49:F52)</f>
        <v>16.037777777777777</v>
      </c>
      <c r="G53" s="112">
        <f>SUM(G49:G52)</f>
        <v>71.907777777777781</v>
      </c>
      <c r="H53" s="34">
        <f>SUM(H49:H52)</f>
        <v>562.85222222222228</v>
      </c>
      <c r="I53" s="34">
        <f t="shared" si="3"/>
        <v>206.03333333333336</v>
      </c>
      <c r="J53" s="34">
        <f t="shared" si="3"/>
        <v>54.444444444444443</v>
      </c>
      <c r="K53" s="34">
        <f>SUM(K49:K52)</f>
        <v>2.3433333333333337</v>
      </c>
      <c r="L53" s="34">
        <f>SUM(L49:L52)</f>
        <v>239.04444444444445</v>
      </c>
      <c r="M53" s="34">
        <f t="shared" si="3"/>
        <v>0.26</v>
      </c>
      <c r="N53" s="34">
        <f t="shared" si="3"/>
        <v>20.2</v>
      </c>
      <c r="O53" s="36">
        <f t="shared" si="3"/>
        <v>114.57</v>
      </c>
      <c r="P53" s="142"/>
    </row>
    <row r="54" spans="1:16" x14ac:dyDescent="0.3">
      <c r="A54" s="134" t="s">
        <v>89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42"/>
    </row>
    <row r="55" spans="1:16" x14ac:dyDescent="0.3">
      <c r="A55" s="32" t="s">
        <v>36</v>
      </c>
      <c r="B55" s="40">
        <v>2017</v>
      </c>
      <c r="C55" s="40">
        <v>82</v>
      </c>
      <c r="D55" s="48">
        <v>200</v>
      </c>
      <c r="E55" s="48">
        <v>1.45</v>
      </c>
      <c r="F55" s="48">
        <v>3.93</v>
      </c>
      <c r="G55" s="48">
        <v>10.19</v>
      </c>
      <c r="H55" s="48">
        <v>82</v>
      </c>
      <c r="I55" s="48">
        <v>35.5</v>
      </c>
      <c r="J55" s="48">
        <v>10.96</v>
      </c>
      <c r="K55" s="48">
        <v>0.432</v>
      </c>
      <c r="L55" s="48">
        <v>33.936</v>
      </c>
      <c r="M55" s="48">
        <v>3.2000000000000001E-2</v>
      </c>
      <c r="N55" s="48">
        <v>5.2320000000000002</v>
      </c>
      <c r="O55" s="49">
        <v>0</v>
      </c>
      <c r="P55" s="142"/>
    </row>
    <row r="56" spans="1:16" x14ac:dyDescent="0.3">
      <c r="A56" s="42" t="s">
        <v>17</v>
      </c>
      <c r="B56" s="40">
        <v>2017</v>
      </c>
      <c r="C56" s="40">
        <v>288</v>
      </c>
      <c r="D56" s="41">
        <v>10</v>
      </c>
      <c r="E56" s="34">
        <v>2.11</v>
      </c>
      <c r="F56" s="34">
        <v>1.36</v>
      </c>
      <c r="G56" s="34">
        <v>0</v>
      </c>
      <c r="H56" s="34">
        <v>20.67</v>
      </c>
      <c r="I56" s="34">
        <v>3.9</v>
      </c>
      <c r="J56" s="34">
        <v>2</v>
      </c>
      <c r="K56" s="34">
        <v>0.18</v>
      </c>
      <c r="L56" s="34">
        <v>14.3</v>
      </c>
      <c r="M56" s="34">
        <v>0.04</v>
      </c>
      <c r="N56" s="34">
        <v>0</v>
      </c>
      <c r="O56" s="36">
        <v>2.2799999999999998</v>
      </c>
      <c r="P56" s="142"/>
    </row>
    <row r="57" spans="1:16" x14ac:dyDescent="0.3">
      <c r="A57" s="45" t="s">
        <v>58</v>
      </c>
      <c r="B57" s="40">
        <v>2017</v>
      </c>
      <c r="C57" s="44">
        <v>291</v>
      </c>
      <c r="D57" s="44">
        <v>200</v>
      </c>
      <c r="E57" s="34">
        <v>18.12</v>
      </c>
      <c r="F57" s="34">
        <v>17.73</v>
      </c>
      <c r="G57" s="34">
        <v>42</v>
      </c>
      <c r="H57" s="36">
        <v>411.55</v>
      </c>
      <c r="I57" s="50">
        <v>45.1</v>
      </c>
      <c r="J57" s="50">
        <v>47.5</v>
      </c>
      <c r="K57" s="50">
        <v>2.19</v>
      </c>
      <c r="L57" s="50">
        <v>143.304</v>
      </c>
      <c r="M57" s="50">
        <v>0.06</v>
      </c>
      <c r="N57" s="50">
        <v>1.01</v>
      </c>
      <c r="O57" s="51">
        <v>248.03</v>
      </c>
      <c r="P57" s="142"/>
    </row>
    <row r="58" spans="1:16" x14ac:dyDescent="0.3">
      <c r="A58" s="35" t="s">
        <v>39</v>
      </c>
      <c r="B58" s="40">
        <v>2017</v>
      </c>
      <c r="C58" s="44">
        <v>59</v>
      </c>
      <c r="D58" s="48">
        <v>60</v>
      </c>
      <c r="E58" s="48">
        <v>0.64800000000000013</v>
      </c>
      <c r="F58" s="48">
        <v>0.10799999999999998</v>
      </c>
      <c r="G58" s="48">
        <v>5.1719999999999997</v>
      </c>
      <c r="H58" s="48">
        <v>24.24</v>
      </c>
      <c r="I58" s="48">
        <v>14.568000000000001</v>
      </c>
      <c r="J58" s="48">
        <v>2.25</v>
      </c>
      <c r="K58" s="48">
        <v>0.64800000000000013</v>
      </c>
      <c r="L58" s="48">
        <v>26.4</v>
      </c>
      <c r="M58" s="48">
        <v>0.03</v>
      </c>
      <c r="N58" s="48">
        <v>3.75</v>
      </c>
      <c r="O58" s="49">
        <v>0</v>
      </c>
      <c r="P58" s="142"/>
    </row>
    <row r="59" spans="1:16" x14ac:dyDescent="0.3">
      <c r="A59" s="35" t="s">
        <v>14</v>
      </c>
      <c r="B59" s="44">
        <v>2017</v>
      </c>
      <c r="C59" s="44">
        <v>376</v>
      </c>
      <c r="D59" s="34">
        <v>200</v>
      </c>
      <c r="E59" s="34">
        <v>0.2</v>
      </c>
      <c r="F59" s="34">
        <v>0</v>
      </c>
      <c r="G59" s="34">
        <v>14</v>
      </c>
      <c r="H59" s="34">
        <v>28</v>
      </c>
      <c r="I59" s="34">
        <v>6</v>
      </c>
      <c r="J59" s="34">
        <v>0</v>
      </c>
      <c r="K59" s="34">
        <v>0.4</v>
      </c>
      <c r="L59" s="34">
        <v>0</v>
      </c>
      <c r="M59" s="34">
        <v>0</v>
      </c>
      <c r="N59" s="34">
        <v>0</v>
      </c>
      <c r="O59" s="34">
        <v>0</v>
      </c>
      <c r="P59" s="142"/>
    </row>
    <row r="60" spans="1:16" x14ac:dyDescent="0.3">
      <c r="A60" s="39" t="s">
        <v>21</v>
      </c>
      <c r="B60" s="40" t="s">
        <v>78</v>
      </c>
      <c r="C60" s="40" t="s">
        <v>78</v>
      </c>
      <c r="D60" s="41">
        <v>20</v>
      </c>
      <c r="E60" s="34">
        <v>1.58</v>
      </c>
      <c r="F60" s="34">
        <v>0.2</v>
      </c>
      <c r="G60" s="34">
        <v>9.66</v>
      </c>
      <c r="H60" s="34">
        <v>46.76</v>
      </c>
      <c r="I60" s="34">
        <v>4.5999999999999996</v>
      </c>
      <c r="J60" s="34">
        <v>6.6</v>
      </c>
      <c r="K60" s="34">
        <v>0.22</v>
      </c>
      <c r="L60" s="34">
        <v>17.399999999999999</v>
      </c>
      <c r="M60" s="34">
        <v>0.08</v>
      </c>
      <c r="N60" s="34">
        <v>0</v>
      </c>
      <c r="O60" s="36">
        <v>0</v>
      </c>
      <c r="P60" s="142"/>
    </row>
    <row r="61" spans="1:16" x14ac:dyDescent="0.3">
      <c r="A61" s="39" t="s">
        <v>22</v>
      </c>
      <c r="B61" s="40" t="s">
        <v>78</v>
      </c>
      <c r="C61" s="40" t="s">
        <v>78</v>
      </c>
      <c r="D61" s="40">
        <v>40</v>
      </c>
      <c r="E61" s="34">
        <v>2.2400000000000002</v>
      </c>
      <c r="F61" s="34">
        <v>0.44</v>
      </c>
      <c r="G61" s="34">
        <v>19.760000000000002</v>
      </c>
      <c r="H61" s="34">
        <v>91.96</v>
      </c>
      <c r="I61" s="34">
        <v>9.1999999999999993</v>
      </c>
      <c r="J61" s="34">
        <v>10</v>
      </c>
      <c r="K61" s="34">
        <v>1.24</v>
      </c>
      <c r="L61" s="34">
        <v>42.4</v>
      </c>
      <c r="M61" s="34">
        <v>0.04</v>
      </c>
      <c r="N61" s="34">
        <v>0</v>
      </c>
      <c r="O61" s="36">
        <v>0</v>
      </c>
      <c r="P61" s="142"/>
    </row>
    <row r="62" spans="1:16" s="69" customFormat="1" x14ac:dyDescent="0.3">
      <c r="A62" s="39" t="s">
        <v>16</v>
      </c>
      <c r="B62" s="40"/>
      <c r="C62" s="40"/>
      <c r="D62" s="34">
        <f>SUM(D55:D61)</f>
        <v>730</v>
      </c>
      <c r="E62" s="34">
        <f>SUM(E55:E61)</f>
        <v>26.347999999999999</v>
      </c>
      <c r="F62" s="34">
        <f>SUM(F55:F61)</f>
        <v>23.768000000000001</v>
      </c>
      <c r="G62" s="34">
        <f>SUM(G55:G61)</f>
        <v>100.782</v>
      </c>
      <c r="H62" s="34">
        <f>SUM(H55:H61)</f>
        <v>705.18000000000006</v>
      </c>
      <c r="I62" s="34">
        <v>118.86799999999999</v>
      </c>
      <c r="J62" s="34">
        <v>79.31</v>
      </c>
      <c r="K62" s="34">
        <v>5.3100000000000005</v>
      </c>
      <c r="L62" s="34">
        <v>277.74</v>
      </c>
      <c r="M62" s="34">
        <v>0.28199999999999997</v>
      </c>
      <c r="N62" s="34">
        <v>9.9920000000000009</v>
      </c>
      <c r="O62" s="36">
        <v>250.31</v>
      </c>
      <c r="P62" s="142"/>
    </row>
    <row r="63" spans="1:16" s="62" customFormat="1" x14ac:dyDescent="0.3">
      <c r="A63" s="67" t="s">
        <v>24</v>
      </c>
      <c r="B63" s="108"/>
      <c r="C63" s="108"/>
      <c r="D63" s="68">
        <v>1230</v>
      </c>
      <c r="E63" s="68">
        <f>E62+E53</f>
        <v>42.775777777777776</v>
      </c>
      <c r="F63" s="68">
        <f>F62+F53</f>
        <v>39.805777777777777</v>
      </c>
      <c r="G63" s="68">
        <f>G62+G53</f>
        <v>172.68977777777778</v>
      </c>
      <c r="H63" s="68">
        <f>H62+H53</f>
        <v>1268.0322222222223</v>
      </c>
      <c r="I63" s="68">
        <v>324.90133333333335</v>
      </c>
      <c r="J63" s="68">
        <v>133.75444444444446</v>
      </c>
      <c r="K63" s="68">
        <v>7.6533333333333342</v>
      </c>
      <c r="L63" s="68">
        <v>516.78444444444449</v>
      </c>
      <c r="M63" s="68">
        <v>0.54200000000000004</v>
      </c>
      <c r="N63" s="68">
        <v>30.192</v>
      </c>
      <c r="O63" s="109">
        <v>364.88</v>
      </c>
      <c r="P63" s="143"/>
    </row>
    <row r="64" spans="1:16" s="66" customFormat="1" x14ac:dyDescent="0.3">
      <c r="A64" s="133" t="s">
        <v>47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96"/>
    </row>
    <row r="65" spans="1:16" s="66" customFormat="1" x14ac:dyDescent="0.3">
      <c r="A65" s="138" t="s">
        <v>88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96"/>
    </row>
    <row r="66" spans="1:16" s="1" customFormat="1" ht="27.6" x14ac:dyDescent="0.3">
      <c r="A66" s="39" t="s">
        <v>48</v>
      </c>
      <c r="B66" s="41">
        <v>2017</v>
      </c>
      <c r="C66" s="41">
        <v>181</v>
      </c>
      <c r="D66" s="33">
        <v>210</v>
      </c>
      <c r="E66" s="34">
        <v>9.52</v>
      </c>
      <c r="F66" s="34">
        <v>4.17</v>
      </c>
      <c r="G66" s="34">
        <v>35.46</v>
      </c>
      <c r="H66" s="34">
        <v>201.7</v>
      </c>
      <c r="I66" s="34">
        <v>202.17</v>
      </c>
      <c r="J66" s="34">
        <v>7.9</v>
      </c>
      <c r="K66" s="34">
        <v>0.47</v>
      </c>
      <c r="L66" s="34">
        <v>38.6</v>
      </c>
      <c r="M66" s="34">
        <v>0.04</v>
      </c>
      <c r="N66" s="34">
        <v>0</v>
      </c>
      <c r="O66" s="36">
        <v>36.72</v>
      </c>
      <c r="P66" s="145" t="s">
        <v>47</v>
      </c>
    </row>
    <row r="67" spans="1:16" s="1" customFormat="1" x14ac:dyDescent="0.3">
      <c r="A67" s="52" t="s">
        <v>77</v>
      </c>
      <c r="B67" s="44">
        <v>3</v>
      </c>
      <c r="C67" s="44">
        <v>2017</v>
      </c>
      <c r="D67" s="53">
        <v>40</v>
      </c>
      <c r="E67" s="113">
        <v>4.9000000000000004</v>
      </c>
      <c r="F67" s="34">
        <v>11.55</v>
      </c>
      <c r="G67" s="34">
        <v>17.100000000000001</v>
      </c>
      <c r="H67" s="113">
        <v>193</v>
      </c>
      <c r="I67" s="34">
        <v>106</v>
      </c>
      <c r="J67" s="34">
        <v>4.8</v>
      </c>
      <c r="K67" s="34">
        <v>0.12</v>
      </c>
      <c r="L67" s="34">
        <v>0.09</v>
      </c>
      <c r="M67" s="34">
        <v>0.06</v>
      </c>
      <c r="N67" s="34">
        <v>0.11</v>
      </c>
      <c r="O67" s="36">
        <v>39</v>
      </c>
      <c r="P67" s="142"/>
    </row>
    <row r="68" spans="1:16" s="1" customFormat="1" x14ac:dyDescent="0.3">
      <c r="A68" s="42" t="s">
        <v>26</v>
      </c>
      <c r="B68" s="40">
        <v>2017</v>
      </c>
      <c r="C68" s="40">
        <v>377</v>
      </c>
      <c r="D68" s="44">
        <v>200</v>
      </c>
      <c r="E68" s="44">
        <v>0.13</v>
      </c>
      <c r="F68" s="44">
        <v>0.02</v>
      </c>
      <c r="G68" s="44">
        <v>10.25</v>
      </c>
      <c r="H68" s="44">
        <v>41.68</v>
      </c>
      <c r="I68" s="44">
        <v>14.05</v>
      </c>
      <c r="J68" s="44">
        <v>2.4</v>
      </c>
      <c r="K68" s="44">
        <v>0.38</v>
      </c>
      <c r="L68" s="44">
        <v>4.4000000000000004</v>
      </c>
      <c r="M68" s="44">
        <v>0</v>
      </c>
      <c r="N68" s="44">
        <v>2.83</v>
      </c>
      <c r="O68" s="46">
        <v>0</v>
      </c>
      <c r="P68" s="142"/>
    </row>
    <row r="69" spans="1:16" s="1" customFormat="1" x14ac:dyDescent="0.3">
      <c r="A69" s="35" t="s">
        <v>62</v>
      </c>
      <c r="B69" s="44">
        <v>2017</v>
      </c>
      <c r="C69" s="44">
        <v>338</v>
      </c>
      <c r="D69" s="33">
        <v>100</v>
      </c>
      <c r="E69" s="34">
        <v>0.9</v>
      </c>
      <c r="F69" s="34">
        <v>0.2</v>
      </c>
      <c r="G69" s="34">
        <v>8.1</v>
      </c>
      <c r="H69" s="34">
        <v>37.799999999999997</v>
      </c>
      <c r="I69" s="34">
        <v>34</v>
      </c>
      <c r="J69" s="34">
        <v>13</v>
      </c>
      <c r="K69" s="34">
        <v>0.3</v>
      </c>
      <c r="L69" s="34">
        <v>18.329999999999998</v>
      </c>
      <c r="M69" s="34">
        <v>0.04</v>
      </c>
      <c r="N69" s="34">
        <v>26</v>
      </c>
      <c r="O69" s="36">
        <v>0</v>
      </c>
      <c r="P69" s="142"/>
    </row>
    <row r="70" spans="1:16" s="1" customFormat="1" x14ac:dyDescent="0.3">
      <c r="A70" s="114" t="s">
        <v>16</v>
      </c>
      <c r="B70" s="43"/>
      <c r="C70" s="43"/>
      <c r="D70" s="33">
        <f t="shared" ref="D70:O70" si="4">SUM(D66:D69)</f>
        <v>550</v>
      </c>
      <c r="E70" s="34">
        <f>SUM(E66:E69)</f>
        <v>15.450000000000001</v>
      </c>
      <c r="F70" s="34">
        <f>SUM(F66:F69)</f>
        <v>15.94</v>
      </c>
      <c r="G70" s="34">
        <f>SUM(G66:G69)</f>
        <v>70.91</v>
      </c>
      <c r="H70" s="34">
        <f>SUM(H66:H69)</f>
        <v>474.18</v>
      </c>
      <c r="I70" s="34">
        <f t="shared" si="4"/>
        <v>356.21999999999997</v>
      </c>
      <c r="J70" s="34">
        <f t="shared" si="4"/>
        <v>28.1</v>
      </c>
      <c r="K70" s="34">
        <f t="shared" si="4"/>
        <v>1.27</v>
      </c>
      <c r="L70" s="34">
        <f t="shared" si="4"/>
        <v>61.42</v>
      </c>
      <c r="M70" s="34">
        <f t="shared" si="4"/>
        <v>0.14000000000000001</v>
      </c>
      <c r="N70" s="34">
        <f t="shared" si="4"/>
        <v>28.94</v>
      </c>
      <c r="O70" s="36">
        <f t="shared" si="4"/>
        <v>75.72</v>
      </c>
      <c r="P70" s="142"/>
    </row>
    <row r="71" spans="1:16" s="1" customFormat="1" x14ac:dyDescent="0.3">
      <c r="A71" s="133" t="s">
        <v>89</v>
      </c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51"/>
      <c r="P71" s="142"/>
    </row>
    <row r="72" spans="1:16" s="1" customFormat="1" x14ac:dyDescent="0.3">
      <c r="A72" s="35" t="s">
        <v>50</v>
      </c>
      <c r="B72" s="44">
        <v>2017</v>
      </c>
      <c r="C72" s="44">
        <v>99</v>
      </c>
      <c r="D72" s="44">
        <v>200</v>
      </c>
      <c r="E72" s="34">
        <v>1.68</v>
      </c>
      <c r="F72" s="34">
        <v>5.98</v>
      </c>
      <c r="G72" s="34">
        <v>9.35</v>
      </c>
      <c r="H72" s="34">
        <v>98.37</v>
      </c>
      <c r="I72" s="34">
        <v>25.71</v>
      </c>
      <c r="J72" s="34">
        <v>23.02</v>
      </c>
      <c r="K72" s="34">
        <v>7.0000000000000007E-2</v>
      </c>
      <c r="L72" s="34">
        <v>69.47</v>
      </c>
      <c r="M72" s="34">
        <v>0.11</v>
      </c>
      <c r="N72" s="34">
        <v>6.8</v>
      </c>
      <c r="O72" s="36">
        <v>0</v>
      </c>
      <c r="P72" s="142"/>
    </row>
    <row r="73" spans="1:16" s="1" customFormat="1" x14ac:dyDescent="0.3">
      <c r="A73" s="42" t="s">
        <v>17</v>
      </c>
      <c r="B73" s="40">
        <v>2017</v>
      </c>
      <c r="C73" s="40">
        <v>288</v>
      </c>
      <c r="D73" s="41">
        <v>10</v>
      </c>
      <c r="E73" s="34">
        <v>2.11</v>
      </c>
      <c r="F73" s="34">
        <v>1.36</v>
      </c>
      <c r="G73" s="34">
        <v>0</v>
      </c>
      <c r="H73" s="34">
        <v>20.67</v>
      </c>
      <c r="I73" s="34">
        <v>3.9</v>
      </c>
      <c r="J73" s="34">
        <v>2</v>
      </c>
      <c r="K73" s="34">
        <v>0.18</v>
      </c>
      <c r="L73" s="34">
        <v>14.3</v>
      </c>
      <c r="M73" s="34">
        <v>0.04</v>
      </c>
      <c r="N73" s="34">
        <v>0</v>
      </c>
      <c r="O73" s="36">
        <v>2.2799999999999998</v>
      </c>
      <c r="P73" s="142"/>
    </row>
    <row r="74" spans="1:16" s="1" customFormat="1" x14ac:dyDescent="0.3">
      <c r="A74" s="76" t="s">
        <v>31</v>
      </c>
      <c r="B74" s="40">
        <v>2017</v>
      </c>
      <c r="C74" s="40" t="s">
        <v>86</v>
      </c>
      <c r="D74" s="44">
        <v>90</v>
      </c>
      <c r="E74" s="34">
        <v>12</v>
      </c>
      <c r="F74" s="34">
        <v>10.64</v>
      </c>
      <c r="G74" s="34">
        <v>11.66</v>
      </c>
      <c r="H74" s="34">
        <v>172.12</v>
      </c>
      <c r="I74" s="34">
        <v>163.8799999999992</v>
      </c>
      <c r="J74" s="34">
        <v>12.77</v>
      </c>
      <c r="K74" s="34">
        <v>1.08</v>
      </c>
      <c r="L74" s="34">
        <v>43.19</v>
      </c>
      <c r="M74" s="34">
        <v>0.1</v>
      </c>
      <c r="N74" s="34">
        <v>0.1</v>
      </c>
      <c r="O74" s="36">
        <v>241.65</v>
      </c>
      <c r="P74" s="142"/>
    </row>
    <row r="75" spans="1:16" s="1" customFormat="1" ht="28.2" x14ac:dyDescent="0.3">
      <c r="A75" s="32" t="s">
        <v>74</v>
      </c>
      <c r="B75" s="40">
        <v>2017</v>
      </c>
      <c r="C75" s="40">
        <v>125</v>
      </c>
      <c r="D75" s="44">
        <v>150</v>
      </c>
      <c r="E75" s="34">
        <v>2.86</v>
      </c>
      <c r="F75" s="34">
        <v>4.32</v>
      </c>
      <c r="G75" s="34">
        <v>23.01</v>
      </c>
      <c r="H75" s="34">
        <v>142.35</v>
      </c>
      <c r="I75" s="34">
        <v>14.64</v>
      </c>
      <c r="J75" s="34">
        <v>19.329999999999998</v>
      </c>
      <c r="K75" s="34">
        <v>1.1599999999999999</v>
      </c>
      <c r="L75" s="34">
        <v>109.97</v>
      </c>
      <c r="M75" s="34">
        <v>0.15</v>
      </c>
      <c r="N75" s="34">
        <v>21</v>
      </c>
      <c r="O75" s="36">
        <v>21</v>
      </c>
      <c r="P75" s="142"/>
    </row>
    <row r="76" spans="1:16" s="1" customFormat="1" x14ac:dyDescent="0.3">
      <c r="A76" s="35" t="s">
        <v>52</v>
      </c>
      <c r="B76" s="44">
        <v>2017</v>
      </c>
      <c r="C76" s="44">
        <v>52</v>
      </c>
      <c r="D76" s="44">
        <v>60</v>
      </c>
      <c r="E76" s="44">
        <v>0.86</v>
      </c>
      <c r="F76" s="44">
        <v>3.65</v>
      </c>
      <c r="G76" s="44">
        <v>5.0199999999999996</v>
      </c>
      <c r="H76" s="44">
        <v>56.34</v>
      </c>
      <c r="I76" s="44">
        <v>21.09</v>
      </c>
      <c r="J76" s="44">
        <v>12.54</v>
      </c>
      <c r="K76" s="44">
        <v>0.8</v>
      </c>
      <c r="L76" s="72">
        <v>24.58</v>
      </c>
      <c r="M76" s="44">
        <v>0.01</v>
      </c>
      <c r="N76" s="44">
        <v>5.7</v>
      </c>
      <c r="O76" s="46">
        <v>0</v>
      </c>
      <c r="P76" s="142"/>
    </row>
    <row r="77" spans="1:16" s="1" customFormat="1" x14ac:dyDescent="0.3">
      <c r="A77" s="35" t="s">
        <v>53</v>
      </c>
      <c r="B77" s="44">
        <v>2017</v>
      </c>
      <c r="C77" s="44">
        <v>342</v>
      </c>
      <c r="D77" s="44">
        <v>200</v>
      </c>
      <c r="E77" s="34">
        <v>0.2</v>
      </c>
      <c r="F77" s="34">
        <v>0.2</v>
      </c>
      <c r="G77" s="34">
        <v>22.3</v>
      </c>
      <c r="H77" s="34">
        <v>110</v>
      </c>
      <c r="I77" s="34">
        <v>12</v>
      </c>
      <c r="J77" s="34">
        <v>0</v>
      </c>
      <c r="K77" s="34">
        <v>0.8</v>
      </c>
      <c r="L77" s="34">
        <v>2.4</v>
      </c>
      <c r="M77" s="34">
        <v>0.02</v>
      </c>
      <c r="N77" s="34">
        <v>0</v>
      </c>
      <c r="O77" s="36">
        <v>0</v>
      </c>
      <c r="P77" s="142"/>
    </row>
    <row r="78" spans="1:16" s="1" customFormat="1" x14ac:dyDescent="0.3">
      <c r="A78" s="39" t="s">
        <v>21</v>
      </c>
      <c r="B78" s="40" t="s">
        <v>78</v>
      </c>
      <c r="C78" s="40" t="s">
        <v>78</v>
      </c>
      <c r="D78" s="41">
        <v>20</v>
      </c>
      <c r="E78" s="34">
        <v>1.58</v>
      </c>
      <c r="F78" s="34">
        <v>0.2</v>
      </c>
      <c r="G78" s="34">
        <v>9.66</v>
      </c>
      <c r="H78" s="34">
        <v>46.76</v>
      </c>
      <c r="I78" s="34">
        <v>4.5999999999999996</v>
      </c>
      <c r="J78" s="34">
        <v>6.6</v>
      </c>
      <c r="K78" s="34">
        <v>0.22</v>
      </c>
      <c r="L78" s="34">
        <v>17.399999999999999</v>
      </c>
      <c r="M78" s="34">
        <v>0.08</v>
      </c>
      <c r="N78" s="34">
        <v>0</v>
      </c>
      <c r="O78" s="36">
        <v>0</v>
      </c>
      <c r="P78" s="142"/>
    </row>
    <row r="79" spans="1:16" s="1" customFormat="1" x14ac:dyDescent="0.3">
      <c r="A79" s="39" t="s">
        <v>22</v>
      </c>
      <c r="B79" s="40" t="s">
        <v>78</v>
      </c>
      <c r="C79" s="40" t="s">
        <v>78</v>
      </c>
      <c r="D79" s="40">
        <v>40</v>
      </c>
      <c r="E79" s="34">
        <v>2.2400000000000002</v>
      </c>
      <c r="F79" s="34">
        <v>0.44</v>
      </c>
      <c r="G79" s="34">
        <v>19.760000000000002</v>
      </c>
      <c r="H79" s="34">
        <v>91.96</v>
      </c>
      <c r="I79" s="34">
        <v>9.1999999999999993</v>
      </c>
      <c r="J79" s="34">
        <v>10</v>
      </c>
      <c r="K79" s="34">
        <v>1.24</v>
      </c>
      <c r="L79" s="34">
        <v>42.4</v>
      </c>
      <c r="M79" s="34">
        <v>0.04</v>
      </c>
      <c r="N79" s="34">
        <v>0</v>
      </c>
      <c r="O79" s="36">
        <v>0</v>
      </c>
      <c r="P79" s="142"/>
    </row>
    <row r="80" spans="1:16" s="69" customFormat="1" x14ac:dyDescent="0.3">
      <c r="A80" s="114" t="s">
        <v>16</v>
      </c>
      <c r="B80" s="43"/>
      <c r="C80" s="43"/>
      <c r="D80" s="44">
        <v>770</v>
      </c>
      <c r="E80" s="34">
        <f>SUM(E72:E79)</f>
        <v>23.53</v>
      </c>
      <c r="F80" s="34">
        <f>SUM(F72:F79)</f>
        <v>26.79</v>
      </c>
      <c r="G80" s="34">
        <f>SUM(G72:G79)</f>
        <v>100.75999999999999</v>
      </c>
      <c r="H80" s="34">
        <f>SUM(H72:H79)</f>
        <v>738.57</v>
      </c>
      <c r="I80" s="34">
        <v>255.01999999999919</v>
      </c>
      <c r="J80" s="34">
        <f>SUM(J72:J79)</f>
        <v>86.259999999999991</v>
      </c>
      <c r="K80" s="34">
        <v>5.55</v>
      </c>
      <c r="L80" s="34">
        <v>323.70999999999992</v>
      </c>
      <c r="M80" s="34">
        <v>0.55000000000000004</v>
      </c>
      <c r="N80" s="34">
        <v>33.6</v>
      </c>
      <c r="O80" s="36">
        <v>264.93</v>
      </c>
      <c r="P80" s="142"/>
    </row>
    <row r="81" spans="1:16" s="62" customFormat="1" x14ac:dyDescent="0.3">
      <c r="A81" s="67" t="s">
        <v>24</v>
      </c>
      <c r="B81" s="108"/>
      <c r="C81" s="108"/>
      <c r="D81" s="111">
        <f>D70+D80</f>
        <v>1320</v>
      </c>
      <c r="E81" s="68">
        <f t="shared" ref="E81:O81" si="5">E80+E70</f>
        <v>38.980000000000004</v>
      </c>
      <c r="F81" s="68">
        <f t="shared" si="5"/>
        <v>42.73</v>
      </c>
      <c r="G81" s="68">
        <f t="shared" si="5"/>
        <v>171.67</v>
      </c>
      <c r="H81" s="68">
        <f t="shared" si="5"/>
        <v>1212.75</v>
      </c>
      <c r="I81" s="68">
        <f t="shared" si="5"/>
        <v>611.2399999999991</v>
      </c>
      <c r="J81" s="68">
        <f t="shared" si="5"/>
        <v>114.35999999999999</v>
      </c>
      <c r="K81" s="68">
        <f t="shared" si="5"/>
        <v>6.82</v>
      </c>
      <c r="L81" s="68">
        <f t="shared" si="5"/>
        <v>385.12999999999994</v>
      </c>
      <c r="M81" s="68">
        <f t="shared" si="5"/>
        <v>0.69000000000000006</v>
      </c>
      <c r="N81" s="68">
        <f t="shared" si="5"/>
        <v>62.540000000000006</v>
      </c>
      <c r="O81" s="109">
        <f t="shared" si="5"/>
        <v>340.65</v>
      </c>
      <c r="P81" s="143"/>
    </row>
    <row r="82" spans="1:16" s="62" customFormat="1" x14ac:dyDescent="0.3">
      <c r="A82" s="138" t="s">
        <v>54</v>
      </c>
      <c r="B82" s="148"/>
      <c r="C82" s="14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96"/>
    </row>
    <row r="83" spans="1:16" s="62" customFormat="1" x14ac:dyDescent="0.3">
      <c r="A83" s="149" t="s">
        <v>88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45" t="s">
        <v>54</v>
      </c>
    </row>
    <row r="84" spans="1:16" ht="25.2" customHeight="1" x14ac:dyDescent="0.3">
      <c r="A84" s="32" t="s">
        <v>100</v>
      </c>
      <c r="B84" s="40">
        <v>2017</v>
      </c>
      <c r="C84" s="40">
        <v>183</v>
      </c>
      <c r="D84" s="44">
        <v>210</v>
      </c>
      <c r="E84" s="34">
        <v>7.21</v>
      </c>
      <c r="F84" s="34">
        <v>11.58</v>
      </c>
      <c r="G84" s="34">
        <v>7.86</v>
      </c>
      <c r="H84" s="34">
        <v>203</v>
      </c>
      <c r="I84" s="34">
        <f>92.24*210/100</f>
        <v>193.70399999999998</v>
      </c>
      <c r="J84" s="34">
        <v>43.1</v>
      </c>
      <c r="K84" s="34">
        <v>1.32</v>
      </c>
      <c r="L84" s="34">
        <v>147.69999999999999</v>
      </c>
      <c r="M84" s="34">
        <v>0.15</v>
      </c>
      <c r="N84" s="34">
        <v>0</v>
      </c>
      <c r="O84" s="36">
        <f>20*1.14</f>
        <v>22.799999999999997</v>
      </c>
      <c r="P84" s="142"/>
    </row>
    <row r="85" spans="1:16" x14ac:dyDescent="0.3">
      <c r="A85" s="35" t="s">
        <v>13</v>
      </c>
      <c r="B85" s="44" t="s">
        <v>78</v>
      </c>
      <c r="C85" s="44" t="s">
        <v>78</v>
      </c>
      <c r="D85" s="33">
        <v>60</v>
      </c>
      <c r="E85" s="34">
        <v>4.74</v>
      </c>
      <c r="F85" s="34">
        <v>0.6</v>
      </c>
      <c r="G85" s="34">
        <v>28.98</v>
      </c>
      <c r="H85" s="34">
        <v>140.28</v>
      </c>
      <c r="I85" s="34">
        <v>13.8</v>
      </c>
      <c r="J85" s="34">
        <v>19.8</v>
      </c>
      <c r="K85" s="34">
        <v>0.66</v>
      </c>
      <c r="L85" s="34">
        <v>52.2</v>
      </c>
      <c r="M85" s="34">
        <v>0.1</v>
      </c>
      <c r="N85" s="34">
        <v>0</v>
      </c>
      <c r="O85" s="36">
        <v>0</v>
      </c>
      <c r="P85" s="142"/>
    </row>
    <row r="86" spans="1:16" x14ac:dyDescent="0.3">
      <c r="A86" s="54" t="s">
        <v>49</v>
      </c>
      <c r="B86" s="34">
        <v>2017</v>
      </c>
      <c r="C86" s="34">
        <v>382</v>
      </c>
      <c r="D86" s="33">
        <v>200</v>
      </c>
      <c r="E86" s="34">
        <v>3.52</v>
      </c>
      <c r="F86" s="34">
        <v>3.72</v>
      </c>
      <c r="G86" s="34">
        <v>25.49</v>
      </c>
      <c r="H86" s="34">
        <v>145.19999999999999</v>
      </c>
      <c r="I86" s="34">
        <v>122</v>
      </c>
      <c r="J86" s="34">
        <v>14</v>
      </c>
      <c r="K86" s="34">
        <v>0.56000000000000005</v>
      </c>
      <c r="L86" s="34">
        <v>39</v>
      </c>
      <c r="M86" s="34">
        <v>0.04</v>
      </c>
      <c r="N86" s="34">
        <v>1.3</v>
      </c>
      <c r="O86" s="36">
        <f>0.01*1.14</f>
        <v>1.1399999999999999E-2</v>
      </c>
      <c r="P86" s="142"/>
    </row>
    <row r="87" spans="1:16" x14ac:dyDescent="0.3">
      <c r="A87" s="37" t="s">
        <v>29</v>
      </c>
      <c r="B87" s="41" t="s">
        <v>78</v>
      </c>
      <c r="C87" s="41" t="s">
        <v>78</v>
      </c>
      <c r="D87" s="41">
        <v>30</v>
      </c>
      <c r="E87" s="44">
        <f>0.1*30/20</f>
        <v>0.15</v>
      </c>
      <c r="F87" s="44">
        <v>0</v>
      </c>
      <c r="G87" s="44">
        <v>17.48</v>
      </c>
      <c r="H87" s="44">
        <f>57.68*30/20</f>
        <v>86.52000000000001</v>
      </c>
      <c r="I87" s="44">
        <f>2.4*30/20</f>
        <v>3.6</v>
      </c>
      <c r="J87" s="44">
        <f>1.8*30/20</f>
        <v>2.7</v>
      </c>
      <c r="K87" s="44">
        <f>0.08*30/20</f>
        <v>0.12</v>
      </c>
      <c r="L87" s="44">
        <f>3.6*30/20</f>
        <v>5.4</v>
      </c>
      <c r="M87" s="44">
        <v>0</v>
      </c>
      <c r="N87" s="44">
        <f>0.48*30/20</f>
        <v>0.72</v>
      </c>
      <c r="O87" s="46">
        <v>0</v>
      </c>
      <c r="P87" s="142"/>
    </row>
    <row r="88" spans="1:16" x14ac:dyDescent="0.3">
      <c r="A88" s="39" t="s">
        <v>16</v>
      </c>
      <c r="B88" s="40"/>
      <c r="C88" s="40"/>
      <c r="D88" s="33">
        <f t="shared" ref="D88:O88" si="6">SUM(D84:D87)</f>
        <v>500</v>
      </c>
      <c r="E88" s="112">
        <f>SUM(E84:E87)</f>
        <v>15.62</v>
      </c>
      <c r="F88" s="34">
        <f>SUM(F84:F87)</f>
        <v>15.9</v>
      </c>
      <c r="G88" s="34">
        <f>SUM(G84:G87)</f>
        <v>79.81</v>
      </c>
      <c r="H88" s="34">
        <f>SUM(H84:H87)</f>
        <v>575</v>
      </c>
      <c r="I88" s="34">
        <f t="shared" si="6"/>
        <v>333.10400000000004</v>
      </c>
      <c r="J88" s="34">
        <f t="shared" si="6"/>
        <v>79.600000000000009</v>
      </c>
      <c r="K88" s="34">
        <f t="shared" si="6"/>
        <v>2.66</v>
      </c>
      <c r="L88" s="34">
        <f t="shared" si="6"/>
        <v>244.29999999999998</v>
      </c>
      <c r="M88" s="34">
        <f t="shared" si="6"/>
        <v>0.28999999999999998</v>
      </c>
      <c r="N88" s="34">
        <f t="shared" si="6"/>
        <v>2.02</v>
      </c>
      <c r="O88" s="36">
        <f t="shared" si="6"/>
        <v>22.811399999999995</v>
      </c>
      <c r="P88" s="142"/>
    </row>
    <row r="89" spans="1:16" x14ac:dyDescent="0.3">
      <c r="A89" s="133" t="s">
        <v>89</v>
      </c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51"/>
      <c r="P89" s="142"/>
    </row>
    <row r="90" spans="1:16" ht="12.6" customHeight="1" x14ac:dyDescent="0.3">
      <c r="A90" s="32" t="s">
        <v>43</v>
      </c>
      <c r="B90" s="40">
        <v>2017</v>
      </c>
      <c r="C90" s="110">
        <v>96</v>
      </c>
      <c r="D90" s="44">
        <v>210</v>
      </c>
      <c r="E90" s="34">
        <v>2.48</v>
      </c>
      <c r="F90" s="34">
        <v>5</v>
      </c>
      <c r="G90" s="34">
        <v>24.08</v>
      </c>
      <c r="H90" s="34">
        <v>211.54</v>
      </c>
      <c r="I90" s="34">
        <v>21.16</v>
      </c>
      <c r="J90" s="34">
        <v>20.72</v>
      </c>
      <c r="K90" s="34">
        <v>0.78</v>
      </c>
      <c r="L90" s="34">
        <v>57.56</v>
      </c>
      <c r="M90" s="34">
        <v>0.08</v>
      </c>
      <c r="N90" s="34">
        <v>6.03</v>
      </c>
      <c r="O90" s="36">
        <v>0</v>
      </c>
      <c r="P90" s="142"/>
    </row>
    <row r="91" spans="1:16" ht="12.6" customHeight="1" x14ac:dyDescent="0.3">
      <c r="A91" s="42" t="s">
        <v>17</v>
      </c>
      <c r="B91" s="40">
        <v>2017</v>
      </c>
      <c r="C91" s="40">
        <v>288</v>
      </c>
      <c r="D91" s="41">
        <v>10</v>
      </c>
      <c r="E91" s="34">
        <v>2.11</v>
      </c>
      <c r="F91" s="34">
        <v>1.36</v>
      </c>
      <c r="G91" s="34">
        <v>0</v>
      </c>
      <c r="H91" s="34">
        <v>20.67</v>
      </c>
      <c r="I91" s="34">
        <v>3.9</v>
      </c>
      <c r="J91" s="34">
        <v>2</v>
      </c>
      <c r="K91" s="34">
        <v>0.18</v>
      </c>
      <c r="L91" s="34">
        <v>14.3</v>
      </c>
      <c r="M91" s="34">
        <v>0.04</v>
      </c>
      <c r="N91" s="34">
        <v>0</v>
      </c>
      <c r="O91" s="36">
        <v>2.2799999999999998</v>
      </c>
      <c r="P91" s="142"/>
    </row>
    <row r="92" spans="1:16" ht="12.6" customHeight="1" x14ac:dyDescent="0.3">
      <c r="A92" s="32" t="s">
        <v>44</v>
      </c>
      <c r="B92" s="40">
        <v>2017</v>
      </c>
      <c r="C92" s="110" t="s">
        <v>87</v>
      </c>
      <c r="D92" s="44">
        <v>90</v>
      </c>
      <c r="E92" s="34">
        <v>11.99</v>
      </c>
      <c r="F92" s="34">
        <v>12.05</v>
      </c>
      <c r="G92" s="34">
        <v>8.67</v>
      </c>
      <c r="H92" s="34">
        <v>188.9</v>
      </c>
      <c r="I92" s="34">
        <v>187.3</v>
      </c>
      <c r="J92" s="34">
        <v>21.1</v>
      </c>
      <c r="K92" s="34">
        <v>0.59</v>
      </c>
      <c r="L92" s="34">
        <v>77.7</v>
      </c>
      <c r="M92" s="34">
        <v>0.06</v>
      </c>
      <c r="N92" s="34">
        <v>0.82</v>
      </c>
      <c r="O92" s="36">
        <v>296.15000000000038</v>
      </c>
      <c r="P92" s="142"/>
    </row>
    <row r="93" spans="1:16" ht="12.6" customHeight="1" x14ac:dyDescent="0.3">
      <c r="A93" s="35" t="s">
        <v>45</v>
      </c>
      <c r="B93" s="44">
        <v>2017</v>
      </c>
      <c r="C93" s="44">
        <v>312</v>
      </c>
      <c r="D93" s="44">
        <v>150</v>
      </c>
      <c r="E93" s="34">
        <v>3.06</v>
      </c>
      <c r="F93" s="34">
        <v>4.8</v>
      </c>
      <c r="G93" s="34">
        <v>20.45</v>
      </c>
      <c r="H93" s="34">
        <v>137.25</v>
      </c>
      <c r="I93" s="34">
        <v>36.979999999999997</v>
      </c>
      <c r="J93" s="34">
        <v>27.75</v>
      </c>
      <c r="K93" s="34">
        <v>1.01</v>
      </c>
      <c r="L93" s="34">
        <v>56.6</v>
      </c>
      <c r="M93" s="34">
        <v>0.14000000000000001</v>
      </c>
      <c r="N93" s="34">
        <v>9.3699999999999992</v>
      </c>
      <c r="O93" s="36">
        <v>25.5</v>
      </c>
      <c r="P93" s="142"/>
    </row>
    <row r="94" spans="1:16" ht="12.6" customHeight="1" x14ac:dyDescent="0.3">
      <c r="A94" s="35" t="s">
        <v>46</v>
      </c>
      <c r="B94" s="44">
        <v>2017</v>
      </c>
      <c r="C94" s="44">
        <v>47</v>
      </c>
      <c r="D94" s="44">
        <v>60</v>
      </c>
      <c r="E94" s="34">
        <v>1.03</v>
      </c>
      <c r="F94" s="34">
        <v>3.01</v>
      </c>
      <c r="G94" s="34">
        <v>5.0999999999999996</v>
      </c>
      <c r="H94" s="34">
        <v>51.62</v>
      </c>
      <c r="I94" s="34">
        <v>31.47</v>
      </c>
      <c r="J94" s="34">
        <v>7.64</v>
      </c>
      <c r="K94" s="34">
        <v>0.4</v>
      </c>
      <c r="L94" s="34">
        <v>20.45</v>
      </c>
      <c r="M94" s="34">
        <v>0.01</v>
      </c>
      <c r="N94" s="34">
        <v>11.93</v>
      </c>
      <c r="O94" s="36">
        <v>0</v>
      </c>
      <c r="P94" s="142"/>
    </row>
    <row r="95" spans="1:16" ht="12.6" customHeight="1" x14ac:dyDescent="0.3">
      <c r="A95" s="35" t="s">
        <v>14</v>
      </c>
      <c r="B95" s="44">
        <v>2017</v>
      </c>
      <c r="C95" s="44">
        <v>376</v>
      </c>
      <c r="D95" s="34">
        <v>200</v>
      </c>
      <c r="E95" s="34">
        <v>0.2</v>
      </c>
      <c r="F95" s="34">
        <v>0</v>
      </c>
      <c r="G95" s="34">
        <v>14</v>
      </c>
      <c r="H95" s="34">
        <v>28</v>
      </c>
      <c r="I95" s="34">
        <v>6</v>
      </c>
      <c r="J95" s="34">
        <v>0</v>
      </c>
      <c r="K95" s="34">
        <v>0.4</v>
      </c>
      <c r="L95" s="34">
        <v>0</v>
      </c>
      <c r="M95" s="34">
        <v>0</v>
      </c>
      <c r="N95" s="34">
        <v>0</v>
      </c>
      <c r="O95" s="34">
        <v>0</v>
      </c>
      <c r="P95" s="142"/>
    </row>
    <row r="96" spans="1:16" ht="12.6" customHeight="1" x14ac:dyDescent="0.3">
      <c r="A96" s="39" t="s">
        <v>21</v>
      </c>
      <c r="B96" s="40" t="s">
        <v>78</v>
      </c>
      <c r="C96" s="40" t="s">
        <v>78</v>
      </c>
      <c r="D96" s="41">
        <v>20</v>
      </c>
      <c r="E96" s="34">
        <v>1.58</v>
      </c>
      <c r="F96" s="34">
        <v>0.2</v>
      </c>
      <c r="G96" s="34">
        <v>9.66</v>
      </c>
      <c r="H96" s="34">
        <v>46.76</v>
      </c>
      <c r="I96" s="34">
        <v>4.5999999999999996</v>
      </c>
      <c r="J96" s="34">
        <v>6.6</v>
      </c>
      <c r="K96" s="34">
        <v>0.22</v>
      </c>
      <c r="L96" s="34">
        <v>17.399999999999999</v>
      </c>
      <c r="M96" s="34">
        <v>0.08</v>
      </c>
      <c r="N96" s="34">
        <v>0</v>
      </c>
      <c r="O96" s="36">
        <v>0</v>
      </c>
      <c r="P96" s="142"/>
    </row>
    <row r="97" spans="1:16" ht="12.6" customHeight="1" x14ac:dyDescent="0.3">
      <c r="A97" s="39" t="s">
        <v>22</v>
      </c>
      <c r="B97" s="40" t="s">
        <v>78</v>
      </c>
      <c r="C97" s="40" t="s">
        <v>78</v>
      </c>
      <c r="D97" s="40">
        <v>40</v>
      </c>
      <c r="E97" s="34">
        <v>2.2400000000000002</v>
      </c>
      <c r="F97" s="34">
        <v>0.44</v>
      </c>
      <c r="G97" s="34">
        <v>19.760000000000002</v>
      </c>
      <c r="H97" s="34">
        <v>91.96</v>
      </c>
      <c r="I97" s="34">
        <v>9.1999999999999993</v>
      </c>
      <c r="J97" s="34">
        <v>10</v>
      </c>
      <c r="K97" s="34">
        <v>1.24</v>
      </c>
      <c r="L97" s="34">
        <v>42.4</v>
      </c>
      <c r="M97" s="34">
        <v>0.04</v>
      </c>
      <c r="N97" s="34">
        <v>0</v>
      </c>
      <c r="O97" s="36">
        <v>0</v>
      </c>
      <c r="P97" s="142"/>
    </row>
    <row r="98" spans="1:16" x14ac:dyDescent="0.3">
      <c r="A98" s="39" t="s">
        <v>16</v>
      </c>
      <c r="B98" s="40"/>
      <c r="C98" s="40"/>
      <c r="D98" s="44">
        <v>780</v>
      </c>
      <c r="E98" s="34">
        <f>SUM(E90:E97)</f>
        <v>24.689999999999998</v>
      </c>
      <c r="F98" s="34">
        <f>SUM(F90:F97)</f>
        <v>26.86</v>
      </c>
      <c r="G98" s="34">
        <f>SUM(G90:G97)</f>
        <v>101.72000000000001</v>
      </c>
      <c r="H98" s="34">
        <f>SUM(H90:H97)</f>
        <v>776.7</v>
      </c>
      <c r="I98" s="34">
        <v>300.61</v>
      </c>
      <c r="J98" s="34">
        <f>SUM(J90:J97)</f>
        <v>95.809999999999988</v>
      </c>
      <c r="K98" s="34">
        <v>4.8199999999999994</v>
      </c>
      <c r="L98" s="34">
        <v>286.40999999999997</v>
      </c>
      <c r="M98" s="34">
        <v>0.45</v>
      </c>
      <c r="N98" s="34">
        <v>28.15</v>
      </c>
      <c r="O98" s="34">
        <v>323.93000000000035</v>
      </c>
      <c r="P98" s="142"/>
    </row>
    <row r="99" spans="1:16" s="62" customFormat="1" x14ac:dyDescent="0.3">
      <c r="A99" s="67" t="s">
        <v>24</v>
      </c>
      <c r="B99" s="108"/>
      <c r="C99" s="108"/>
      <c r="D99" s="111">
        <v>1280</v>
      </c>
      <c r="E99" s="68">
        <f t="shared" ref="E99:J99" si="7">E98+E88</f>
        <v>40.309999999999995</v>
      </c>
      <c r="F99" s="68">
        <f t="shared" si="7"/>
        <v>42.76</v>
      </c>
      <c r="G99" s="68">
        <f t="shared" si="7"/>
        <v>181.53000000000003</v>
      </c>
      <c r="H99" s="68">
        <f t="shared" si="7"/>
        <v>1351.7</v>
      </c>
      <c r="I99" s="68">
        <f t="shared" si="7"/>
        <v>633.71400000000006</v>
      </c>
      <c r="J99" s="68">
        <f t="shared" si="7"/>
        <v>175.41</v>
      </c>
      <c r="K99" s="68">
        <v>7.4799999999999995</v>
      </c>
      <c r="L99" s="68">
        <v>530.70999999999992</v>
      </c>
      <c r="M99" s="68">
        <v>0.74</v>
      </c>
      <c r="N99" s="68">
        <v>30.169999999999998</v>
      </c>
      <c r="O99" s="68">
        <v>346.74140000000034</v>
      </c>
      <c r="P99" s="143"/>
    </row>
    <row r="100" spans="1:16" s="62" customFormat="1" x14ac:dyDescent="0.3">
      <c r="A100" s="67" t="s">
        <v>92</v>
      </c>
      <c r="B100" s="70"/>
      <c r="C100" s="70"/>
      <c r="D100" s="73">
        <v>1281</v>
      </c>
      <c r="E100" s="68">
        <f>(E99+E81+E63+E46+E28)/5</f>
        <v>41.710915555555559</v>
      </c>
      <c r="F100" s="68">
        <f>(F99+F81+F63+F46+F28)/5</f>
        <v>42.584955555555553</v>
      </c>
      <c r="G100" s="68">
        <f>(G99+G81+G63+G46+G28)/5</f>
        <v>181.66543555555558</v>
      </c>
      <c r="H100" s="68">
        <f>(H99+H81+H63+H46+H28)/5</f>
        <v>1295.6264444444446</v>
      </c>
      <c r="I100" s="68">
        <v>548.92546666666658</v>
      </c>
      <c r="J100" s="68">
        <v>151.55948888888889</v>
      </c>
      <c r="K100" s="68">
        <v>8.4326666666666661</v>
      </c>
      <c r="L100" s="68">
        <v>556.35448888888891</v>
      </c>
      <c r="M100" s="68">
        <v>0.72480000000000011</v>
      </c>
      <c r="N100" s="68">
        <v>33.7864</v>
      </c>
      <c r="O100" s="68">
        <v>376.26902000000013</v>
      </c>
      <c r="P100" s="92"/>
    </row>
    <row r="101" spans="1:16" s="62" customFormat="1" x14ac:dyDescent="0.3">
      <c r="A101" s="138" t="s">
        <v>60</v>
      </c>
      <c r="B101" s="148"/>
      <c r="C101" s="14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96"/>
    </row>
    <row r="102" spans="1:16" s="62" customFormat="1" x14ac:dyDescent="0.3">
      <c r="A102" s="138" t="s">
        <v>88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96"/>
    </row>
    <row r="103" spans="1:16" s="1" customFormat="1" ht="28.2" x14ac:dyDescent="0.3">
      <c r="A103" s="32" t="s">
        <v>56</v>
      </c>
      <c r="B103" s="41">
        <v>2017</v>
      </c>
      <c r="C103" s="41">
        <v>173</v>
      </c>
      <c r="D103" s="44">
        <v>210</v>
      </c>
      <c r="E103" s="34">
        <v>5.63</v>
      </c>
      <c r="F103" s="34">
        <v>8.8000000000000007</v>
      </c>
      <c r="G103" s="34">
        <v>24.9</v>
      </c>
      <c r="H103" s="34">
        <v>195.2</v>
      </c>
      <c r="I103" s="34">
        <v>192.2</v>
      </c>
      <c r="J103" s="34">
        <v>23.06</v>
      </c>
      <c r="K103" s="34">
        <v>1.18</v>
      </c>
      <c r="L103" s="34">
        <v>117</v>
      </c>
      <c r="M103" s="34">
        <v>0.17</v>
      </c>
      <c r="N103" s="34">
        <v>0.54</v>
      </c>
      <c r="O103" s="36">
        <v>21.419047619047618</v>
      </c>
      <c r="P103" s="142" t="s">
        <v>60</v>
      </c>
    </row>
    <row r="104" spans="1:16" s="1" customFormat="1" x14ac:dyDescent="0.3">
      <c r="A104" s="45" t="s">
        <v>27</v>
      </c>
      <c r="B104" s="44">
        <v>2017</v>
      </c>
      <c r="C104" s="44">
        <v>379</v>
      </c>
      <c r="D104" s="44">
        <v>200</v>
      </c>
      <c r="E104" s="34">
        <v>3.6</v>
      </c>
      <c r="F104" s="34">
        <v>2.67</v>
      </c>
      <c r="G104" s="34">
        <v>29.2</v>
      </c>
      <c r="H104" s="34">
        <v>155.19999999999999</v>
      </c>
      <c r="I104" s="34">
        <v>158.66999999999999</v>
      </c>
      <c r="J104" s="34">
        <v>6.8</v>
      </c>
      <c r="K104" s="34">
        <v>0.22</v>
      </c>
      <c r="L104" s="34">
        <v>82.4</v>
      </c>
      <c r="M104" s="34">
        <v>7.0000000000000007E-2</v>
      </c>
      <c r="N104" s="34">
        <v>1.17</v>
      </c>
      <c r="O104" s="36">
        <v>6.84</v>
      </c>
      <c r="P104" s="142"/>
    </row>
    <row r="105" spans="1:16" s="1" customFormat="1" x14ac:dyDescent="0.3">
      <c r="A105" s="35" t="s">
        <v>55</v>
      </c>
      <c r="B105" s="44">
        <v>2017</v>
      </c>
      <c r="C105" s="44">
        <v>209</v>
      </c>
      <c r="D105" s="44">
        <v>40</v>
      </c>
      <c r="E105" s="34">
        <v>5.0999999999999996</v>
      </c>
      <c r="F105" s="34">
        <v>4.5999999999999996</v>
      </c>
      <c r="G105" s="34">
        <v>0.3</v>
      </c>
      <c r="H105" s="34">
        <v>63</v>
      </c>
      <c r="I105" s="34">
        <v>22</v>
      </c>
      <c r="J105" s="34">
        <v>4.8</v>
      </c>
      <c r="K105" s="34">
        <v>1</v>
      </c>
      <c r="L105" s="34">
        <v>76.8</v>
      </c>
      <c r="M105" s="34">
        <v>0.03</v>
      </c>
      <c r="N105" s="34">
        <v>0</v>
      </c>
      <c r="O105" s="36">
        <v>0.11399999999999999</v>
      </c>
      <c r="P105" s="142"/>
    </row>
    <row r="106" spans="1:16" s="1" customFormat="1" x14ac:dyDescent="0.3">
      <c r="A106" s="35" t="s">
        <v>13</v>
      </c>
      <c r="B106" s="40" t="s">
        <v>78</v>
      </c>
      <c r="C106" s="40" t="s">
        <v>78</v>
      </c>
      <c r="D106" s="34">
        <v>60</v>
      </c>
      <c r="E106" s="34">
        <v>4.74</v>
      </c>
      <c r="F106" s="34">
        <v>0.6</v>
      </c>
      <c r="G106" s="34">
        <v>28.98</v>
      </c>
      <c r="H106" s="34">
        <v>140.28</v>
      </c>
      <c r="I106" s="34">
        <v>13.8</v>
      </c>
      <c r="J106" s="34">
        <v>19.8</v>
      </c>
      <c r="K106" s="34">
        <v>0.66</v>
      </c>
      <c r="L106" s="34">
        <v>52.2</v>
      </c>
      <c r="M106" s="34">
        <v>0.1</v>
      </c>
      <c r="N106" s="34">
        <v>0</v>
      </c>
      <c r="O106" s="36">
        <v>0</v>
      </c>
      <c r="P106" s="142"/>
    </row>
    <row r="107" spans="1:16" s="1" customFormat="1" x14ac:dyDescent="0.3">
      <c r="A107" s="114" t="s">
        <v>16</v>
      </c>
      <c r="B107" s="43"/>
      <c r="C107" s="43"/>
      <c r="D107" s="44">
        <v>510</v>
      </c>
      <c r="E107" s="34">
        <f t="shared" ref="E107:O107" si="8">SUM(E103:E106)</f>
        <v>19.07</v>
      </c>
      <c r="F107" s="34">
        <f t="shared" si="8"/>
        <v>16.670000000000002</v>
      </c>
      <c r="G107" s="34">
        <f t="shared" si="8"/>
        <v>83.38</v>
      </c>
      <c r="H107" s="34">
        <f t="shared" si="8"/>
        <v>553.67999999999995</v>
      </c>
      <c r="I107" s="34">
        <f t="shared" si="8"/>
        <v>386.67</v>
      </c>
      <c r="J107" s="34">
        <f t="shared" si="8"/>
        <v>54.459999999999994</v>
      </c>
      <c r="K107" s="34">
        <f t="shared" si="8"/>
        <v>3.06</v>
      </c>
      <c r="L107" s="34">
        <f t="shared" si="8"/>
        <v>328.4</v>
      </c>
      <c r="M107" s="34">
        <f t="shared" si="8"/>
        <v>0.37</v>
      </c>
      <c r="N107" s="34">
        <f t="shared" si="8"/>
        <v>1.71</v>
      </c>
      <c r="O107" s="36">
        <f t="shared" si="8"/>
        <v>28.373047619047618</v>
      </c>
      <c r="P107" s="142"/>
    </row>
    <row r="108" spans="1:16" s="1" customFormat="1" x14ac:dyDescent="0.3">
      <c r="A108" s="133" t="s">
        <v>89</v>
      </c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51"/>
      <c r="P108" s="142"/>
    </row>
    <row r="109" spans="1:16" s="1" customFormat="1" x14ac:dyDescent="0.3">
      <c r="A109" s="39" t="s">
        <v>57</v>
      </c>
      <c r="B109" s="40">
        <v>2017</v>
      </c>
      <c r="C109" s="40">
        <v>102</v>
      </c>
      <c r="D109" s="41">
        <v>200</v>
      </c>
      <c r="E109" s="34">
        <v>2.12</v>
      </c>
      <c r="F109" s="34">
        <v>4.22</v>
      </c>
      <c r="G109" s="34">
        <v>13.06</v>
      </c>
      <c r="H109" s="34">
        <v>107.8</v>
      </c>
      <c r="I109" s="34">
        <v>30.46</v>
      </c>
      <c r="J109" s="34">
        <v>22.24</v>
      </c>
      <c r="K109" s="34">
        <v>1.62</v>
      </c>
      <c r="L109" s="34">
        <v>69.739999999999995</v>
      </c>
      <c r="M109" s="34">
        <v>0.18</v>
      </c>
      <c r="N109" s="34">
        <v>4.6500000000000004</v>
      </c>
      <c r="O109" s="36">
        <v>0</v>
      </c>
      <c r="P109" s="142"/>
    </row>
    <row r="110" spans="1:16" s="1" customFormat="1" x14ac:dyDescent="0.3">
      <c r="A110" s="42" t="s">
        <v>17</v>
      </c>
      <c r="B110" s="41">
        <v>2017</v>
      </c>
      <c r="C110" s="40">
        <v>288</v>
      </c>
      <c r="D110" s="41">
        <v>10</v>
      </c>
      <c r="E110" s="34">
        <v>2.11</v>
      </c>
      <c r="F110" s="34">
        <v>1.36</v>
      </c>
      <c r="G110" s="34">
        <v>0</v>
      </c>
      <c r="H110" s="34">
        <v>20.67</v>
      </c>
      <c r="I110" s="34">
        <v>3.9</v>
      </c>
      <c r="J110" s="34">
        <v>2</v>
      </c>
      <c r="K110" s="34">
        <v>0.18</v>
      </c>
      <c r="L110" s="34">
        <v>14.3</v>
      </c>
      <c r="M110" s="34">
        <v>0.04</v>
      </c>
      <c r="N110" s="34">
        <v>0</v>
      </c>
      <c r="O110" s="36">
        <v>2.2799999999999998</v>
      </c>
      <c r="P110" s="142"/>
    </row>
    <row r="111" spans="1:16" s="1" customFormat="1" ht="14.4" customHeight="1" x14ac:dyDescent="0.3">
      <c r="A111" s="45" t="s">
        <v>58</v>
      </c>
      <c r="B111" s="40">
        <v>2017</v>
      </c>
      <c r="C111" s="44">
        <v>291</v>
      </c>
      <c r="D111" s="44">
        <v>200</v>
      </c>
      <c r="E111" s="34">
        <v>18.12</v>
      </c>
      <c r="F111" s="34">
        <v>17.73</v>
      </c>
      <c r="G111" s="34">
        <v>42</v>
      </c>
      <c r="H111" s="36">
        <v>411.55</v>
      </c>
      <c r="I111" s="50">
        <v>45.1</v>
      </c>
      <c r="J111" s="50">
        <v>47.5</v>
      </c>
      <c r="K111" s="50">
        <v>2.19</v>
      </c>
      <c r="L111" s="50">
        <v>143.304</v>
      </c>
      <c r="M111" s="50">
        <v>0.06</v>
      </c>
      <c r="N111" s="50">
        <v>1.01</v>
      </c>
      <c r="O111" s="51">
        <v>248.03</v>
      </c>
      <c r="P111" s="142"/>
    </row>
    <row r="112" spans="1:16" s="1" customFormat="1" ht="14.4" customHeight="1" x14ac:dyDescent="0.3">
      <c r="A112" s="35" t="s">
        <v>63</v>
      </c>
      <c r="B112" s="44">
        <v>2008</v>
      </c>
      <c r="C112" s="44">
        <v>17</v>
      </c>
      <c r="D112" s="44">
        <v>60</v>
      </c>
      <c r="E112" s="34">
        <v>0.52</v>
      </c>
      <c r="F112" s="34">
        <v>3.07</v>
      </c>
      <c r="G112" s="34">
        <v>1.57</v>
      </c>
      <c r="H112" s="34">
        <v>35.880000000000003</v>
      </c>
      <c r="I112" s="34">
        <v>13.97</v>
      </c>
      <c r="J112" s="34">
        <v>8.06</v>
      </c>
      <c r="K112" s="34">
        <v>0.37</v>
      </c>
      <c r="L112" s="34">
        <v>16.940000000000001</v>
      </c>
      <c r="M112" s="34">
        <v>0.01</v>
      </c>
      <c r="N112" s="34">
        <v>3.33</v>
      </c>
      <c r="O112" s="36">
        <v>0</v>
      </c>
      <c r="P112" s="142"/>
    </row>
    <row r="113" spans="1:16" s="1" customFormat="1" ht="15" customHeight="1" x14ac:dyDescent="0.3">
      <c r="A113" s="98" t="s">
        <v>23</v>
      </c>
      <c r="B113" s="99">
        <v>2017</v>
      </c>
      <c r="C113" s="99">
        <v>349</v>
      </c>
      <c r="D113" s="99">
        <v>200</v>
      </c>
      <c r="E113" s="100">
        <v>0.04</v>
      </c>
      <c r="F113" s="100">
        <v>0</v>
      </c>
      <c r="G113" s="100">
        <v>24.76</v>
      </c>
      <c r="H113" s="100">
        <v>94.2</v>
      </c>
      <c r="I113" s="100">
        <v>6.4</v>
      </c>
      <c r="J113" s="100">
        <v>0</v>
      </c>
      <c r="K113" s="100">
        <v>0.18</v>
      </c>
      <c r="L113" s="100">
        <v>3.6</v>
      </c>
      <c r="M113" s="100">
        <v>0.01</v>
      </c>
      <c r="N113" s="100">
        <v>1.08</v>
      </c>
      <c r="O113" s="100">
        <v>0</v>
      </c>
      <c r="P113" s="142"/>
    </row>
    <row r="114" spans="1:16" x14ac:dyDescent="0.3">
      <c r="A114" s="39" t="s">
        <v>21</v>
      </c>
      <c r="B114" s="40" t="s">
        <v>78</v>
      </c>
      <c r="C114" s="40" t="s">
        <v>78</v>
      </c>
      <c r="D114" s="41">
        <v>20</v>
      </c>
      <c r="E114" s="34">
        <v>1.58</v>
      </c>
      <c r="F114" s="34">
        <v>0.2</v>
      </c>
      <c r="G114" s="34">
        <v>9.66</v>
      </c>
      <c r="H114" s="34">
        <v>46.76</v>
      </c>
      <c r="I114" s="34">
        <v>4.5999999999999996</v>
      </c>
      <c r="J114" s="34">
        <v>6.6</v>
      </c>
      <c r="K114" s="34">
        <v>0.22</v>
      </c>
      <c r="L114" s="34">
        <v>17.399999999999999</v>
      </c>
      <c r="M114" s="34">
        <v>0.08</v>
      </c>
      <c r="N114" s="34">
        <v>0</v>
      </c>
      <c r="O114" s="36">
        <v>0</v>
      </c>
      <c r="P114" s="142"/>
    </row>
    <row r="115" spans="1:16" x14ac:dyDescent="0.3">
      <c r="A115" s="39" t="s">
        <v>22</v>
      </c>
      <c r="B115" s="40" t="s">
        <v>78</v>
      </c>
      <c r="C115" s="40" t="s">
        <v>78</v>
      </c>
      <c r="D115" s="40">
        <v>40</v>
      </c>
      <c r="E115" s="34">
        <v>2.2400000000000002</v>
      </c>
      <c r="F115" s="34">
        <v>0.44</v>
      </c>
      <c r="G115" s="34">
        <v>19.760000000000002</v>
      </c>
      <c r="H115" s="34">
        <v>91.96</v>
      </c>
      <c r="I115" s="34">
        <v>9.1999999999999993</v>
      </c>
      <c r="J115" s="34">
        <v>10</v>
      </c>
      <c r="K115" s="34">
        <v>1.24</v>
      </c>
      <c r="L115" s="34">
        <v>42.4</v>
      </c>
      <c r="M115" s="34">
        <v>0.04</v>
      </c>
      <c r="N115" s="34">
        <v>0</v>
      </c>
      <c r="O115" s="36">
        <v>0</v>
      </c>
      <c r="P115" s="142"/>
    </row>
    <row r="116" spans="1:16" x14ac:dyDescent="0.3">
      <c r="A116" s="114" t="s">
        <v>16</v>
      </c>
      <c r="B116" s="43"/>
      <c r="C116" s="43"/>
      <c r="D116" s="44">
        <v>730</v>
      </c>
      <c r="E116" s="34">
        <f>SUM(E109:E115)</f>
        <v>26.730000000000004</v>
      </c>
      <c r="F116" s="34">
        <f>SUM(F109:F115)</f>
        <v>27.020000000000003</v>
      </c>
      <c r="G116" s="34">
        <f>SUM(G109:G115)</f>
        <v>110.81</v>
      </c>
      <c r="H116" s="34">
        <f>SUM(H109:H115)</f>
        <v>808.82</v>
      </c>
      <c r="I116" s="34">
        <v>113.63000000000001</v>
      </c>
      <c r="J116" s="34">
        <f>SUM(J109:J115)</f>
        <v>96.399999999999991</v>
      </c>
      <c r="K116" s="34">
        <v>6</v>
      </c>
      <c r="L116" s="34">
        <v>307.68399999999997</v>
      </c>
      <c r="M116" s="34">
        <v>0.42000000000000004</v>
      </c>
      <c r="N116" s="34">
        <v>10.07</v>
      </c>
      <c r="O116" s="36">
        <v>250.31</v>
      </c>
      <c r="P116" s="142"/>
    </row>
    <row r="117" spans="1:16" s="62" customFormat="1" x14ac:dyDescent="0.3">
      <c r="A117" s="67" t="s">
        <v>24</v>
      </c>
      <c r="B117" s="108"/>
      <c r="C117" s="108"/>
      <c r="D117" s="111">
        <v>1240</v>
      </c>
      <c r="E117" s="68">
        <f t="shared" ref="E117:O117" si="9">E116+E107</f>
        <v>45.800000000000004</v>
      </c>
      <c r="F117" s="68">
        <f t="shared" si="9"/>
        <v>43.690000000000005</v>
      </c>
      <c r="G117" s="68">
        <f t="shared" si="9"/>
        <v>194.19</v>
      </c>
      <c r="H117" s="68">
        <f t="shared" si="9"/>
        <v>1362.5</v>
      </c>
      <c r="I117" s="68">
        <f t="shared" si="9"/>
        <v>500.3</v>
      </c>
      <c r="J117" s="68">
        <f t="shared" si="9"/>
        <v>150.85999999999999</v>
      </c>
      <c r="K117" s="68">
        <f t="shared" si="9"/>
        <v>9.06</v>
      </c>
      <c r="L117" s="68">
        <f t="shared" si="9"/>
        <v>636.08399999999995</v>
      </c>
      <c r="M117" s="68">
        <f t="shared" si="9"/>
        <v>0.79</v>
      </c>
      <c r="N117" s="68">
        <f t="shared" si="9"/>
        <v>11.780000000000001</v>
      </c>
      <c r="O117" s="109">
        <f t="shared" si="9"/>
        <v>278.68304761904761</v>
      </c>
      <c r="P117" s="143"/>
    </row>
    <row r="118" spans="1:16" s="62" customFormat="1" x14ac:dyDescent="0.3">
      <c r="A118" s="138" t="s">
        <v>65</v>
      </c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96"/>
    </row>
    <row r="119" spans="1:16" s="62" customFormat="1" x14ac:dyDescent="0.3">
      <c r="A119" s="138" t="s">
        <v>88</v>
      </c>
      <c r="B119" s="138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45" t="s">
        <v>65</v>
      </c>
    </row>
    <row r="120" spans="1:16" ht="28.2" x14ac:dyDescent="0.3">
      <c r="A120" s="32" t="s">
        <v>61</v>
      </c>
      <c r="B120" s="40">
        <v>2017</v>
      </c>
      <c r="C120" s="40">
        <v>188</v>
      </c>
      <c r="D120" s="44">
        <v>180</v>
      </c>
      <c r="E120" s="34">
        <v>9.0860869565217381</v>
      </c>
      <c r="F120" s="34">
        <v>4.28</v>
      </c>
      <c r="G120" s="34">
        <v>32.270000000000003</v>
      </c>
      <c r="H120" s="34">
        <v>195.6</v>
      </c>
      <c r="I120" s="34">
        <v>156.38</v>
      </c>
      <c r="J120" s="34">
        <v>27.26</v>
      </c>
      <c r="K120" s="34">
        <v>0.96260869565217388</v>
      </c>
      <c r="L120" s="34">
        <v>144.72782608695653</v>
      </c>
      <c r="M120" s="34">
        <v>7.0434782608695651E-2</v>
      </c>
      <c r="N120" s="34">
        <v>1.5652173913043479</v>
      </c>
      <c r="O120" s="36">
        <v>25.421999999999997</v>
      </c>
      <c r="P120" s="142"/>
    </row>
    <row r="121" spans="1:16" x14ac:dyDescent="0.3">
      <c r="A121" s="54" t="s">
        <v>49</v>
      </c>
      <c r="B121" s="33">
        <v>2017</v>
      </c>
      <c r="C121" s="113">
        <v>382</v>
      </c>
      <c r="D121" s="33">
        <v>200</v>
      </c>
      <c r="E121" s="34">
        <v>3.52</v>
      </c>
      <c r="F121" s="34">
        <v>3.72</v>
      </c>
      <c r="G121" s="34">
        <v>25.49</v>
      </c>
      <c r="H121" s="34">
        <v>145.19999999999999</v>
      </c>
      <c r="I121" s="34">
        <v>122</v>
      </c>
      <c r="J121" s="34">
        <v>14</v>
      </c>
      <c r="K121" s="34">
        <v>0.56000000000000005</v>
      </c>
      <c r="L121" s="34">
        <v>39</v>
      </c>
      <c r="M121" s="34">
        <v>0.04</v>
      </c>
      <c r="N121" s="34">
        <v>1.3</v>
      </c>
      <c r="O121" s="36">
        <v>1.1399999999999999E-2</v>
      </c>
      <c r="P121" s="142"/>
    </row>
    <row r="122" spans="1:16" x14ac:dyDescent="0.3">
      <c r="A122" s="35" t="s">
        <v>77</v>
      </c>
      <c r="B122" s="44">
        <v>3</v>
      </c>
      <c r="C122" s="44">
        <v>2017</v>
      </c>
      <c r="D122" s="33">
        <v>40</v>
      </c>
      <c r="E122" s="34">
        <v>4.9000000000000004</v>
      </c>
      <c r="F122" s="34">
        <v>11.55</v>
      </c>
      <c r="G122" s="34">
        <v>17.100000000000001</v>
      </c>
      <c r="H122" s="34">
        <v>193</v>
      </c>
      <c r="I122" s="34">
        <v>106</v>
      </c>
      <c r="J122" s="34">
        <v>4.8</v>
      </c>
      <c r="K122" s="34">
        <v>0.12</v>
      </c>
      <c r="L122" s="34">
        <v>0.09</v>
      </c>
      <c r="M122" s="34">
        <v>0.06</v>
      </c>
      <c r="N122" s="34">
        <v>0.11</v>
      </c>
      <c r="O122" s="36">
        <v>39</v>
      </c>
      <c r="P122" s="142"/>
    </row>
    <row r="123" spans="1:16" x14ac:dyDescent="0.3">
      <c r="A123" s="35" t="s">
        <v>62</v>
      </c>
      <c r="B123" s="44">
        <v>2017</v>
      </c>
      <c r="C123" s="44">
        <v>338</v>
      </c>
      <c r="D123" s="33">
        <v>100</v>
      </c>
      <c r="E123" s="34">
        <v>0.9</v>
      </c>
      <c r="F123" s="34">
        <v>0.2</v>
      </c>
      <c r="G123" s="34">
        <v>8.1</v>
      </c>
      <c r="H123" s="34">
        <v>37.799999999999997</v>
      </c>
      <c r="I123" s="34">
        <v>34</v>
      </c>
      <c r="J123" s="34">
        <v>13</v>
      </c>
      <c r="K123" s="34">
        <v>0.3</v>
      </c>
      <c r="L123" s="34">
        <v>18.329999999999998</v>
      </c>
      <c r="M123" s="34">
        <v>0.04</v>
      </c>
      <c r="N123" s="34">
        <v>26</v>
      </c>
      <c r="O123" s="36">
        <v>0</v>
      </c>
      <c r="P123" s="142"/>
    </row>
    <row r="124" spans="1:16" x14ac:dyDescent="0.3">
      <c r="A124" s="114" t="s">
        <v>16</v>
      </c>
      <c r="B124" s="43"/>
      <c r="C124" s="43"/>
      <c r="D124" s="44">
        <v>520</v>
      </c>
      <c r="E124" s="34">
        <f>SUM(E120:E123)</f>
        <v>18.406086956521737</v>
      </c>
      <c r="F124" s="34">
        <f>SUM(F120:F123)</f>
        <v>19.75</v>
      </c>
      <c r="G124" s="34">
        <f>SUM(G120:G123)</f>
        <v>82.960000000000008</v>
      </c>
      <c r="H124" s="34">
        <f>SUM(H120:H123)</f>
        <v>571.59999999999991</v>
      </c>
      <c r="I124" s="34">
        <v>418.38</v>
      </c>
      <c r="J124" s="34">
        <v>59.06</v>
      </c>
      <c r="K124" s="34">
        <v>1.9426086956521742</v>
      </c>
      <c r="L124" s="34">
        <v>202.14782608695651</v>
      </c>
      <c r="M124" s="34">
        <v>0.21043478260869566</v>
      </c>
      <c r="N124" s="34">
        <v>28.975217391304348</v>
      </c>
      <c r="O124" s="36">
        <v>64.433399999999992</v>
      </c>
      <c r="P124" s="142"/>
    </row>
    <row r="125" spans="1:16" x14ac:dyDescent="0.3">
      <c r="A125" s="138" t="s">
        <v>89</v>
      </c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42"/>
    </row>
    <row r="126" spans="1:16" ht="13.95" customHeight="1" x14ac:dyDescent="0.3">
      <c r="A126" s="32" t="s">
        <v>64</v>
      </c>
      <c r="B126" s="55">
        <v>2017</v>
      </c>
      <c r="C126" s="55">
        <v>63</v>
      </c>
      <c r="D126" s="56">
        <v>210</v>
      </c>
      <c r="E126" s="50">
        <v>3.423</v>
      </c>
      <c r="F126" s="50">
        <v>1.512</v>
      </c>
      <c r="G126" s="50">
        <v>7.854000000000001</v>
      </c>
      <c r="H126" s="50">
        <v>81.332999999999998</v>
      </c>
      <c r="I126" s="50">
        <v>71.61</v>
      </c>
      <c r="J126" s="50">
        <v>18.13</v>
      </c>
      <c r="K126" s="50">
        <v>1.1200000000000001</v>
      </c>
      <c r="L126" s="50">
        <v>22.71</v>
      </c>
      <c r="M126" s="57">
        <v>8.4000000000000005E-2</v>
      </c>
      <c r="N126" s="57">
        <v>9.9540000000000006</v>
      </c>
      <c r="O126" s="51">
        <v>8.4</v>
      </c>
      <c r="P126" s="142"/>
    </row>
    <row r="127" spans="1:16" ht="13.95" customHeight="1" x14ac:dyDescent="0.3">
      <c r="A127" s="35" t="s">
        <v>37</v>
      </c>
      <c r="B127" s="44">
        <v>2017</v>
      </c>
      <c r="C127" s="44" t="s">
        <v>90</v>
      </c>
      <c r="D127" s="58">
        <v>90</v>
      </c>
      <c r="E127" s="59">
        <v>9.33</v>
      </c>
      <c r="F127" s="59">
        <v>14.59</v>
      </c>
      <c r="G127" s="59">
        <v>9.8699999999999992</v>
      </c>
      <c r="H127" s="59">
        <v>205.64</v>
      </c>
      <c r="I127" s="59">
        <v>49</v>
      </c>
      <c r="J127" s="59">
        <v>12.4</v>
      </c>
      <c r="K127" s="59">
        <v>1.1299999999999999</v>
      </c>
      <c r="L127" s="59">
        <v>209.3</v>
      </c>
      <c r="M127" s="59">
        <v>0.1</v>
      </c>
      <c r="N127" s="59">
        <v>0.4</v>
      </c>
      <c r="O127" s="60">
        <v>212.37</v>
      </c>
      <c r="P127" s="142"/>
    </row>
    <row r="128" spans="1:16" ht="13.95" customHeight="1" x14ac:dyDescent="0.3">
      <c r="A128" s="35" t="s">
        <v>38</v>
      </c>
      <c r="B128" s="44">
        <v>2017</v>
      </c>
      <c r="C128" s="44">
        <v>202</v>
      </c>
      <c r="D128" s="58">
        <v>150</v>
      </c>
      <c r="E128" s="48">
        <v>5.52</v>
      </c>
      <c r="F128" s="48">
        <v>4.5199999999999996</v>
      </c>
      <c r="G128" s="48">
        <v>26.45</v>
      </c>
      <c r="H128" s="48">
        <v>168.45</v>
      </c>
      <c r="I128" s="48">
        <v>4.8600000000000003</v>
      </c>
      <c r="J128" s="48">
        <v>21.12</v>
      </c>
      <c r="K128" s="48">
        <v>1.1100000000000001</v>
      </c>
      <c r="L128" s="48">
        <v>37.17</v>
      </c>
      <c r="M128" s="48">
        <v>0.06</v>
      </c>
      <c r="N128" s="48">
        <v>0</v>
      </c>
      <c r="O128" s="49">
        <v>67</v>
      </c>
      <c r="P128" s="142"/>
    </row>
    <row r="129" spans="1:16" ht="13.95" customHeight="1" x14ac:dyDescent="0.3">
      <c r="A129" s="35" t="s">
        <v>59</v>
      </c>
      <c r="B129" s="44">
        <v>2017</v>
      </c>
      <c r="C129" s="44">
        <v>49</v>
      </c>
      <c r="D129" s="44">
        <v>60</v>
      </c>
      <c r="E129" s="34">
        <v>1.5588</v>
      </c>
      <c r="F129" s="34">
        <v>3.7320000000000002</v>
      </c>
      <c r="G129" s="34">
        <v>13.289400000000002</v>
      </c>
      <c r="H129" s="34">
        <v>92.94</v>
      </c>
      <c r="I129" s="65">
        <v>44.886000000000003</v>
      </c>
      <c r="J129" s="65">
        <v>23.67</v>
      </c>
      <c r="K129" s="65">
        <v>0.28999999999999998</v>
      </c>
      <c r="L129" s="65">
        <v>12.87</v>
      </c>
      <c r="M129" s="65">
        <v>0.16200000000000003</v>
      </c>
      <c r="N129" s="65">
        <v>3.67</v>
      </c>
      <c r="O129" s="71">
        <v>21.37</v>
      </c>
      <c r="P129" s="142"/>
    </row>
    <row r="130" spans="1:16" ht="13.95" customHeight="1" x14ac:dyDescent="0.3">
      <c r="A130" s="35" t="s">
        <v>14</v>
      </c>
      <c r="B130" s="44">
        <v>2017</v>
      </c>
      <c r="C130" s="44">
        <v>376</v>
      </c>
      <c r="D130" s="33">
        <v>200</v>
      </c>
      <c r="E130" s="34">
        <v>0.2</v>
      </c>
      <c r="F130" s="34">
        <v>0</v>
      </c>
      <c r="G130" s="34">
        <v>14</v>
      </c>
      <c r="H130" s="34">
        <v>28</v>
      </c>
      <c r="I130" s="34">
        <v>6</v>
      </c>
      <c r="J130" s="34">
        <v>0</v>
      </c>
      <c r="K130" s="34">
        <v>0.4</v>
      </c>
      <c r="L130" s="34">
        <v>0</v>
      </c>
      <c r="M130" s="34">
        <v>0</v>
      </c>
      <c r="N130" s="34">
        <v>0</v>
      </c>
      <c r="O130" s="34">
        <v>0</v>
      </c>
      <c r="P130" s="142"/>
    </row>
    <row r="131" spans="1:16" ht="13.95" customHeight="1" x14ac:dyDescent="0.3">
      <c r="A131" s="39" t="s">
        <v>21</v>
      </c>
      <c r="B131" s="40" t="s">
        <v>78</v>
      </c>
      <c r="C131" s="40" t="s">
        <v>78</v>
      </c>
      <c r="D131" s="41">
        <v>20</v>
      </c>
      <c r="E131" s="34">
        <v>1.58</v>
      </c>
      <c r="F131" s="34">
        <v>0.2</v>
      </c>
      <c r="G131" s="34">
        <v>9.66</v>
      </c>
      <c r="H131" s="34">
        <v>46.76</v>
      </c>
      <c r="I131" s="34">
        <v>4.5999999999999996</v>
      </c>
      <c r="J131" s="34">
        <v>6.6</v>
      </c>
      <c r="K131" s="34">
        <v>0.22</v>
      </c>
      <c r="L131" s="34">
        <v>17.399999999999999</v>
      </c>
      <c r="M131" s="34">
        <v>0.08</v>
      </c>
      <c r="N131" s="34">
        <v>0</v>
      </c>
      <c r="O131" s="36">
        <v>0</v>
      </c>
      <c r="P131" s="142"/>
    </row>
    <row r="132" spans="1:16" ht="13.95" customHeight="1" x14ac:dyDescent="0.3">
      <c r="A132" s="39" t="s">
        <v>22</v>
      </c>
      <c r="B132" s="40" t="s">
        <v>78</v>
      </c>
      <c r="C132" s="40" t="s">
        <v>78</v>
      </c>
      <c r="D132" s="40">
        <v>40</v>
      </c>
      <c r="E132" s="34">
        <v>2.2400000000000002</v>
      </c>
      <c r="F132" s="34">
        <v>0.44</v>
      </c>
      <c r="G132" s="34">
        <v>19.760000000000002</v>
      </c>
      <c r="H132" s="34">
        <v>91.96</v>
      </c>
      <c r="I132" s="34">
        <v>9.1999999999999993</v>
      </c>
      <c r="J132" s="34">
        <v>10</v>
      </c>
      <c r="K132" s="34">
        <v>1.24</v>
      </c>
      <c r="L132" s="34">
        <v>42.4</v>
      </c>
      <c r="M132" s="34">
        <v>0.04</v>
      </c>
      <c r="N132" s="34">
        <v>0</v>
      </c>
      <c r="O132" s="36">
        <v>0</v>
      </c>
      <c r="P132" s="142"/>
    </row>
    <row r="133" spans="1:16" x14ac:dyDescent="0.3">
      <c r="A133" s="114" t="s">
        <v>16</v>
      </c>
      <c r="B133" s="43"/>
      <c r="C133" s="43"/>
      <c r="D133" s="44">
        <v>770</v>
      </c>
      <c r="E133" s="34">
        <f>SUM(E126:E132)</f>
        <v>23.851800000000004</v>
      </c>
      <c r="F133" s="34">
        <f>SUM(F126:F132)</f>
        <v>24.994</v>
      </c>
      <c r="G133" s="34">
        <f>SUM(G126:G132)</f>
        <v>100.88340000000001</v>
      </c>
      <c r="H133" s="34">
        <f>SUM(H126:H132)</f>
        <v>715.08299999999997</v>
      </c>
      <c r="I133" s="34">
        <v>190.15599999999998</v>
      </c>
      <c r="J133" s="34">
        <f>SUM(J126:J132)</f>
        <v>91.92</v>
      </c>
      <c r="K133" s="34">
        <f>SUM(K126:K132)</f>
        <v>5.5100000000000007</v>
      </c>
      <c r="L133" s="34">
        <v>341.84999999999997</v>
      </c>
      <c r="M133" s="34">
        <v>0.52600000000000002</v>
      </c>
      <c r="N133" s="34">
        <v>14.024000000000001</v>
      </c>
      <c r="O133" s="36">
        <v>309.14</v>
      </c>
      <c r="P133" s="142"/>
    </row>
    <row r="134" spans="1:16" s="62" customFormat="1" x14ac:dyDescent="0.3">
      <c r="A134" s="67" t="s">
        <v>24</v>
      </c>
      <c r="B134" s="108"/>
      <c r="C134" s="108"/>
      <c r="D134" s="111">
        <v>1290</v>
      </c>
      <c r="E134" s="68">
        <f t="shared" ref="E134:K134" si="10">E133+E124</f>
        <v>42.257886956521745</v>
      </c>
      <c r="F134" s="68">
        <f t="shared" si="10"/>
        <v>44.744</v>
      </c>
      <c r="G134" s="68">
        <f t="shared" si="10"/>
        <v>183.84340000000003</v>
      </c>
      <c r="H134" s="68">
        <f t="shared" si="10"/>
        <v>1286.683</v>
      </c>
      <c r="I134" s="68">
        <f t="shared" si="10"/>
        <v>608.53599999999994</v>
      </c>
      <c r="J134" s="68">
        <f t="shared" si="10"/>
        <v>150.98000000000002</v>
      </c>
      <c r="K134" s="68">
        <f t="shared" si="10"/>
        <v>7.4526086956521747</v>
      </c>
      <c r="L134" s="68">
        <v>543.99782608695648</v>
      </c>
      <c r="M134" s="68">
        <v>0.73643478260869566</v>
      </c>
      <c r="N134" s="68">
        <v>42.999217391304349</v>
      </c>
      <c r="O134" s="109">
        <v>373.57339999999999</v>
      </c>
      <c r="P134" s="143"/>
    </row>
    <row r="135" spans="1:16" s="62" customFormat="1" x14ac:dyDescent="0.3">
      <c r="A135" s="138" t="s">
        <v>70</v>
      </c>
      <c r="B135" s="148"/>
      <c r="C135" s="14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96"/>
    </row>
    <row r="136" spans="1:16" s="62" customFormat="1" x14ac:dyDescent="0.3">
      <c r="A136" s="149" t="s">
        <v>88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5"/>
      <c r="P136" s="146" t="s">
        <v>70</v>
      </c>
    </row>
    <row r="137" spans="1:16" ht="15.6" customHeight="1" x14ac:dyDescent="0.3">
      <c r="A137" s="32" t="s">
        <v>66</v>
      </c>
      <c r="B137" s="41">
        <v>2017</v>
      </c>
      <c r="C137" s="41">
        <v>174</v>
      </c>
      <c r="D137" s="33">
        <v>210</v>
      </c>
      <c r="E137" s="44">
        <v>10.46</v>
      </c>
      <c r="F137" s="34">
        <v>15.3</v>
      </c>
      <c r="G137" s="34">
        <v>23.02</v>
      </c>
      <c r="H137" s="34">
        <v>265.87</v>
      </c>
      <c r="I137" s="34">
        <v>195</v>
      </c>
      <c r="J137" s="34">
        <v>43.06</v>
      </c>
      <c r="K137" s="34">
        <v>0.47</v>
      </c>
      <c r="L137" s="34">
        <v>67</v>
      </c>
      <c r="M137" s="34">
        <v>0.03</v>
      </c>
      <c r="N137" s="34">
        <v>0</v>
      </c>
      <c r="O137" s="34">
        <v>22.799999999999997</v>
      </c>
      <c r="P137" s="147"/>
    </row>
    <row r="138" spans="1:16" x14ac:dyDescent="0.3">
      <c r="A138" s="54" t="s">
        <v>26</v>
      </c>
      <c r="B138" s="43">
        <v>2017</v>
      </c>
      <c r="C138" s="43">
        <v>377</v>
      </c>
      <c r="D138" s="33">
        <v>200</v>
      </c>
      <c r="E138" s="34">
        <v>0.13</v>
      </c>
      <c r="F138" s="34">
        <v>0.02</v>
      </c>
      <c r="G138" s="34">
        <v>10.25</v>
      </c>
      <c r="H138" s="34">
        <v>41.68</v>
      </c>
      <c r="I138" s="34">
        <v>14.05</v>
      </c>
      <c r="J138" s="34">
        <v>2.4</v>
      </c>
      <c r="K138" s="34">
        <v>0.38</v>
      </c>
      <c r="L138" s="34">
        <v>4.4000000000000004</v>
      </c>
      <c r="M138" s="34">
        <v>0</v>
      </c>
      <c r="N138" s="34">
        <v>2.83</v>
      </c>
      <c r="O138" s="36">
        <v>0</v>
      </c>
      <c r="P138" s="147"/>
    </row>
    <row r="139" spans="1:16" x14ac:dyDescent="0.3">
      <c r="A139" s="37" t="s">
        <v>29</v>
      </c>
      <c r="B139" s="41" t="s">
        <v>78</v>
      </c>
      <c r="C139" s="41" t="s">
        <v>78</v>
      </c>
      <c r="D139" s="41">
        <v>30</v>
      </c>
      <c r="E139" s="44">
        <v>0.15</v>
      </c>
      <c r="F139" s="44">
        <v>0</v>
      </c>
      <c r="G139" s="44">
        <v>21.48</v>
      </c>
      <c r="H139" s="44">
        <v>86.52000000000001</v>
      </c>
      <c r="I139" s="44">
        <v>3.6</v>
      </c>
      <c r="J139" s="44">
        <v>2.7</v>
      </c>
      <c r="K139" s="44">
        <v>0.12</v>
      </c>
      <c r="L139" s="44">
        <v>5.4</v>
      </c>
      <c r="M139" s="44">
        <v>0</v>
      </c>
      <c r="N139" s="44">
        <v>0.72</v>
      </c>
      <c r="O139" s="46">
        <v>0</v>
      </c>
      <c r="P139" s="147"/>
    </row>
    <row r="140" spans="1:16" x14ac:dyDescent="0.3">
      <c r="A140" s="35" t="s">
        <v>13</v>
      </c>
      <c r="B140" s="44" t="s">
        <v>78</v>
      </c>
      <c r="C140" s="44" t="s">
        <v>78</v>
      </c>
      <c r="D140" s="34">
        <v>60</v>
      </c>
      <c r="E140" s="34">
        <v>4.74</v>
      </c>
      <c r="F140" s="34">
        <v>0.6</v>
      </c>
      <c r="G140" s="34">
        <v>28.98</v>
      </c>
      <c r="H140" s="34">
        <v>140.28</v>
      </c>
      <c r="I140" s="34">
        <v>13.8</v>
      </c>
      <c r="J140" s="34">
        <v>19.8</v>
      </c>
      <c r="K140" s="34">
        <v>0.66</v>
      </c>
      <c r="L140" s="34">
        <v>52.2</v>
      </c>
      <c r="M140" s="34">
        <v>0.1</v>
      </c>
      <c r="N140" s="34">
        <v>0</v>
      </c>
      <c r="O140" s="36">
        <v>0</v>
      </c>
      <c r="P140" s="147"/>
    </row>
    <row r="141" spans="1:16" x14ac:dyDescent="0.3">
      <c r="A141" s="114" t="s">
        <v>16</v>
      </c>
      <c r="B141" s="43"/>
      <c r="C141" s="43"/>
      <c r="D141" s="44">
        <v>500</v>
      </c>
      <c r="E141" s="34">
        <f t="shared" ref="E141:O141" si="11">SUM(E137:E140)</f>
        <v>15.480000000000002</v>
      </c>
      <c r="F141" s="34">
        <f t="shared" si="11"/>
        <v>15.92</v>
      </c>
      <c r="G141" s="34">
        <f t="shared" si="11"/>
        <v>83.73</v>
      </c>
      <c r="H141" s="34">
        <f t="shared" si="11"/>
        <v>534.35</v>
      </c>
      <c r="I141" s="34">
        <f t="shared" si="11"/>
        <v>226.45000000000002</v>
      </c>
      <c r="J141" s="34">
        <f t="shared" si="11"/>
        <v>67.960000000000008</v>
      </c>
      <c r="K141" s="34">
        <f t="shared" si="11"/>
        <v>1.63</v>
      </c>
      <c r="L141" s="34">
        <f t="shared" si="11"/>
        <v>129</v>
      </c>
      <c r="M141" s="34">
        <f t="shared" si="11"/>
        <v>0.13</v>
      </c>
      <c r="N141" s="34">
        <f t="shared" si="11"/>
        <v>3.55</v>
      </c>
      <c r="O141" s="34">
        <f t="shared" si="11"/>
        <v>22.799999999999997</v>
      </c>
      <c r="P141" s="147"/>
    </row>
    <row r="142" spans="1:16" x14ac:dyDescent="0.3">
      <c r="A142" s="138" t="s">
        <v>89</v>
      </c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47"/>
    </row>
    <row r="143" spans="1:16" x14ac:dyDescent="0.3">
      <c r="A143" s="35" t="s">
        <v>67</v>
      </c>
      <c r="B143" s="41">
        <v>2017</v>
      </c>
      <c r="C143" s="41">
        <v>97</v>
      </c>
      <c r="D143" s="44">
        <v>200</v>
      </c>
      <c r="E143" s="100">
        <v>1.87</v>
      </c>
      <c r="F143" s="100">
        <v>2.2599999999999998</v>
      </c>
      <c r="G143" s="100">
        <v>13.31</v>
      </c>
      <c r="H143" s="100">
        <v>81</v>
      </c>
      <c r="I143" s="100">
        <v>20.68</v>
      </c>
      <c r="J143" s="100">
        <v>14.9</v>
      </c>
      <c r="K143" s="74">
        <v>0.94</v>
      </c>
      <c r="L143" s="44">
        <v>61.44</v>
      </c>
      <c r="M143" s="100">
        <v>0.11</v>
      </c>
      <c r="N143" s="100">
        <v>1.6</v>
      </c>
      <c r="O143" s="100">
        <v>0</v>
      </c>
      <c r="P143" s="147"/>
    </row>
    <row r="144" spans="1:16" x14ac:dyDescent="0.3">
      <c r="A144" s="35" t="s">
        <v>68</v>
      </c>
      <c r="B144" s="41">
        <v>2017</v>
      </c>
      <c r="C144" s="40">
        <v>226</v>
      </c>
      <c r="D144" s="46">
        <v>20</v>
      </c>
      <c r="E144" s="57">
        <v>3.5079999999999996</v>
      </c>
      <c r="F144" s="57">
        <v>0.47599999999999992</v>
      </c>
      <c r="G144" s="57">
        <v>6.2E-2</v>
      </c>
      <c r="H144" s="57">
        <v>18.5</v>
      </c>
      <c r="I144" s="57">
        <v>3.3759999999999994</v>
      </c>
      <c r="J144" s="57">
        <v>2.6</v>
      </c>
      <c r="K144" s="44">
        <v>0.14000000000000001</v>
      </c>
      <c r="L144" s="57">
        <v>34.4</v>
      </c>
      <c r="M144" s="57">
        <v>1.7999999999999999E-2</v>
      </c>
      <c r="N144" s="57">
        <v>7.0000000000000007E-2</v>
      </c>
      <c r="O144" s="57">
        <v>1.71</v>
      </c>
      <c r="P144" s="147"/>
    </row>
    <row r="145" spans="1:16" x14ac:dyDescent="0.3">
      <c r="A145" s="115" t="s">
        <v>72</v>
      </c>
      <c r="B145" s="44">
        <v>2017</v>
      </c>
      <c r="C145" s="44">
        <v>290</v>
      </c>
      <c r="D145" s="44">
        <v>90</v>
      </c>
      <c r="E145" s="44">
        <v>10.35</v>
      </c>
      <c r="F145" s="44">
        <v>12.12</v>
      </c>
      <c r="G145" s="44">
        <v>5.36</v>
      </c>
      <c r="H145" s="44">
        <v>170.58</v>
      </c>
      <c r="I145" s="44">
        <v>38.9</v>
      </c>
      <c r="J145" s="44">
        <v>13.4</v>
      </c>
      <c r="K145" s="44">
        <v>0.91</v>
      </c>
      <c r="L145" s="44">
        <v>13.6</v>
      </c>
      <c r="M145" s="44">
        <v>0.05</v>
      </c>
      <c r="N145" s="44">
        <v>1.44</v>
      </c>
      <c r="O145" s="44">
        <v>219.9</v>
      </c>
      <c r="P145" s="147"/>
    </row>
    <row r="146" spans="1:16" ht="13.95" customHeight="1" x14ac:dyDescent="0.3">
      <c r="A146" s="35" t="s">
        <v>45</v>
      </c>
      <c r="B146" s="44">
        <v>2017</v>
      </c>
      <c r="C146" s="44">
        <v>312</v>
      </c>
      <c r="D146" s="44">
        <v>150</v>
      </c>
      <c r="E146" s="34">
        <v>3.06</v>
      </c>
      <c r="F146" s="34">
        <v>4.8</v>
      </c>
      <c r="G146" s="34">
        <v>20.45</v>
      </c>
      <c r="H146" s="34">
        <v>137.25</v>
      </c>
      <c r="I146" s="34">
        <v>36.979999999999997</v>
      </c>
      <c r="J146" s="34">
        <v>27.75</v>
      </c>
      <c r="K146" s="34">
        <v>1.01</v>
      </c>
      <c r="L146" s="34">
        <v>56.6</v>
      </c>
      <c r="M146" s="34">
        <v>0.14000000000000001</v>
      </c>
      <c r="N146" s="34">
        <v>9.3699999999999992</v>
      </c>
      <c r="O146" s="36">
        <v>25.5</v>
      </c>
      <c r="P146" s="147"/>
    </row>
    <row r="147" spans="1:16" x14ac:dyDescent="0.3">
      <c r="A147" s="35" t="s">
        <v>52</v>
      </c>
      <c r="B147" s="44">
        <v>2017</v>
      </c>
      <c r="C147" s="44">
        <v>52</v>
      </c>
      <c r="D147" s="44">
        <v>60</v>
      </c>
      <c r="E147" s="44">
        <v>0.86</v>
      </c>
      <c r="F147" s="44">
        <v>3.65</v>
      </c>
      <c r="G147" s="44">
        <v>8.08</v>
      </c>
      <c r="H147" s="44">
        <v>66.37</v>
      </c>
      <c r="I147" s="44">
        <v>21.09</v>
      </c>
      <c r="J147" s="44">
        <v>12.54</v>
      </c>
      <c r="K147" s="44">
        <v>0.8</v>
      </c>
      <c r="L147" s="72">
        <v>24.58</v>
      </c>
      <c r="M147" s="44">
        <v>0.01</v>
      </c>
      <c r="N147" s="44">
        <v>5.7</v>
      </c>
      <c r="O147" s="46">
        <v>0</v>
      </c>
      <c r="P147" s="147"/>
    </row>
    <row r="148" spans="1:16" x14ac:dyDescent="0.3">
      <c r="A148" s="35" t="s">
        <v>69</v>
      </c>
      <c r="B148" s="40">
        <v>2008</v>
      </c>
      <c r="C148" s="40">
        <v>436</v>
      </c>
      <c r="D148" s="44">
        <v>200</v>
      </c>
      <c r="E148" s="44">
        <v>0.18</v>
      </c>
      <c r="F148" s="44">
        <v>0.02</v>
      </c>
      <c r="G148" s="44">
        <v>27.46</v>
      </c>
      <c r="H148" s="44">
        <v>94.58</v>
      </c>
      <c r="I148" s="44">
        <v>16.3</v>
      </c>
      <c r="J148" s="44">
        <v>4.0999999999999996</v>
      </c>
      <c r="K148" s="44">
        <v>0.18</v>
      </c>
      <c r="L148" s="44">
        <v>4.4000000000000004</v>
      </c>
      <c r="M148" s="44">
        <v>0.26</v>
      </c>
      <c r="N148" s="44">
        <v>25.5</v>
      </c>
      <c r="O148" s="44">
        <v>0.1</v>
      </c>
      <c r="P148" s="147"/>
    </row>
    <row r="149" spans="1:16" x14ac:dyDescent="0.3">
      <c r="A149" s="39" t="s">
        <v>21</v>
      </c>
      <c r="B149" s="41" t="s">
        <v>78</v>
      </c>
      <c r="C149" s="41" t="s">
        <v>78</v>
      </c>
      <c r="D149" s="41">
        <v>20</v>
      </c>
      <c r="E149" s="34">
        <v>1.58</v>
      </c>
      <c r="F149" s="34">
        <v>0.2</v>
      </c>
      <c r="G149" s="34">
        <v>9.66</v>
      </c>
      <c r="H149" s="34">
        <v>46.76</v>
      </c>
      <c r="I149" s="34">
        <v>4.5999999999999996</v>
      </c>
      <c r="J149" s="34">
        <v>6.6</v>
      </c>
      <c r="K149" s="34">
        <v>0.22</v>
      </c>
      <c r="L149" s="34">
        <v>17.399999999999999</v>
      </c>
      <c r="M149" s="34">
        <v>0.08</v>
      </c>
      <c r="N149" s="34">
        <v>0</v>
      </c>
      <c r="O149" s="36">
        <v>0</v>
      </c>
      <c r="P149" s="147"/>
    </row>
    <row r="150" spans="1:16" x14ac:dyDescent="0.3">
      <c r="A150" s="39" t="s">
        <v>22</v>
      </c>
      <c r="B150" s="44" t="s">
        <v>78</v>
      </c>
      <c r="C150" s="44" t="s">
        <v>78</v>
      </c>
      <c r="D150" s="40">
        <v>40</v>
      </c>
      <c r="E150" s="34">
        <v>2.2400000000000002</v>
      </c>
      <c r="F150" s="34">
        <v>0.44</v>
      </c>
      <c r="G150" s="34">
        <v>19.760000000000002</v>
      </c>
      <c r="H150" s="34">
        <v>91.96</v>
      </c>
      <c r="I150" s="34">
        <v>9.1999999999999993</v>
      </c>
      <c r="J150" s="34">
        <v>10</v>
      </c>
      <c r="K150" s="34">
        <v>1.24</v>
      </c>
      <c r="L150" s="34">
        <v>42.4</v>
      </c>
      <c r="M150" s="34">
        <v>0.04</v>
      </c>
      <c r="N150" s="34">
        <v>0</v>
      </c>
      <c r="O150" s="36">
        <v>0</v>
      </c>
      <c r="P150" s="147"/>
    </row>
    <row r="151" spans="1:16" x14ac:dyDescent="0.3">
      <c r="A151" s="114" t="s">
        <v>16</v>
      </c>
      <c r="B151" s="43"/>
      <c r="C151" s="43"/>
      <c r="D151" s="44">
        <v>780</v>
      </c>
      <c r="E151" s="34">
        <f t="shared" ref="E151:O151" si="12">SUM(E143:E150)</f>
        <v>23.648000000000003</v>
      </c>
      <c r="F151" s="34">
        <f t="shared" si="12"/>
        <v>23.965999999999998</v>
      </c>
      <c r="G151" s="34">
        <f t="shared" si="12"/>
        <v>104.14200000000001</v>
      </c>
      <c r="H151" s="34">
        <f t="shared" si="12"/>
        <v>707.00000000000011</v>
      </c>
      <c r="I151" s="34">
        <f t="shared" si="12"/>
        <v>151.12599999999998</v>
      </c>
      <c r="J151" s="34">
        <f t="shared" si="12"/>
        <v>91.889999999999986</v>
      </c>
      <c r="K151" s="34">
        <f t="shared" si="12"/>
        <v>5.44</v>
      </c>
      <c r="L151" s="34">
        <f t="shared" si="12"/>
        <v>254.82000000000002</v>
      </c>
      <c r="M151" s="34">
        <f t="shared" si="12"/>
        <v>0.70800000000000007</v>
      </c>
      <c r="N151" s="34">
        <f t="shared" si="12"/>
        <v>43.68</v>
      </c>
      <c r="O151" s="34">
        <f t="shared" si="12"/>
        <v>247.21</v>
      </c>
      <c r="P151" s="147"/>
    </row>
    <row r="152" spans="1:16" s="62" customFormat="1" x14ac:dyDescent="0.3">
      <c r="A152" s="67" t="s">
        <v>24</v>
      </c>
      <c r="B152" s="108"/>
      <c r="C152" s="108"/>
      <c r="D152" s="111">
        <v>1280</v>
      </c>
      <c r="E152" s="68">
        <f t="shared" ref="E152:L152" si="13">E151+E141</f>
        <v>39.128000000000007</v>
      </c>
      <c r="F152" s="68">
        <f t="shared" si="13"/>
        <v>39.885999999999996</v>
      </c>
      <c r="G152" s="68">
        <f t="shared" si="13"/>
        <v>187.87200000000001</v>
      </c>
      <c r="H152" s="68">
        <f t="shared" si="13"/>
        <v>1241.3500000000001</v>
      </c>
      <c r="I152" s="68">
        <f t="shared" si="13"/>
        <v>377.57600000000002</v>
      </c>
      <c r="J152" s="68">
        <f t="shared" si="13"/>
        <v>159.85</v>
      </c>
      <c r="K152" s="68">
        <f t="shared" si="13"/>
        <v>7.07</v>
      </c>
      <c r="L152" s="68">
        <f t="shared" si="13"/>
        <v>383.82000000000005</v>
      </c>
      <c r="M152" s="68">
        <v>0.7380000000000001</v>
      </c>
      <c r="N152" s="68">
        <f>N151+N141</f>
        <v>47.23</v>
      </c>
      <c r="O152" s="68">
        <f>O151+O141</f>
        <v>270.01</v>
      </c>
      <c r="P152" s="147"/>
    </row>
    <row r="153" spans="1:16" s="62" customFormat="1" x14ac:dyDescent="0.3">
      <c r="A153" s="132" t="s">
        <v>73</v>
      </c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51"/>
      <c r="P153" s="96"/>
    </row>
    <row r="154" spans="1:16" s="62" customFormat="1" x14ac:dyDescent="0.3">
      <c r="A154" s="132" t="s">
        <v>88</v>
      </c>
      <c r="B154" s="133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51"/>
      <c r="P154" s="141" t="s">
        <v>73</v>
      </c>
    </row>
    <row r="155" spans="1:16" ht="27.6" customHeight="1" x14ac:dyDescent="0.3">
      <c r="A155" s="32" t="s">
        <v>0</v>
      </c>
      <c r="B155" s="41">
        <v>2017</v>
      </c>
      <c r="C155" s="41">
        <v>173</v>
      </c>
      <c r="D155" s="33">
        <v>210</v>
      </c>
      <c r="E155" s="34">
        <v>7.04</v>
      </c>
      <c r="F155" s="34">
        <v>10.42</v>
      </c>
      <c r="G155" s="34">
        <v>19.12</v>
      </c>
      <c r="H155" s="34">
        <v>193.64</v>
      </c>
      <c r="I155" s="34">
        <v>158.65</v>
      </c>
      <c r="J155" s="34">
        <v>57.64</v>
      </c>
      <c r="K155" s="34">
        <v>1.41</v>
      </c>
      <c r="L155" s="34">
        <v>66.37</v>
      </c>
      <c r="M155" s="34">
        <v>0.21</v>
      </c>
      <c r="N155" s="34">
        <v>0.52500000000000002</v>
      </c>
      <c r="O155" s="34">
        <v>17.669999999999998</v>
      </c>
      <c r="P155" s="142"/>
    </row>
    <row r="156" spans="1:16" x14ac:dyDescent="0.3">
      <c r="A156" s="35" t="s">
        <v>12</v>
      </c>
      <c r="B156" s="41">
        <v>2017</v>
      </c>
      <c r="C156" s="41">
        <v>15</v>
      </c>
      <c r="D156" s="34">
        <v>15</v>
      </c>
      <c r="E156" s="34">
        <v>3.48</v>
      </c>
      <c r="F156" s="34">
        <v>4.43</v>
      </c>
      <c r="G156" s="34">
        <v>0</v>
      </c>
      <c r="H156" s="34">
        <v>54.6</v>
      </c>
      <c r="I156" s="34">
        <v>132</v>
      </c>
      <c r="J156" s="34">
        <v>5.25</v>
      </c>
      <c r="K156" s="34">
        <v>0.15</v>
      </c>
      <c r="L156" s="34">
        <v>75</v>
      </c>
      <c r="M156" s="34">
        <v>0.01</v>
      </c>
      <c r="N156" s="34">
        <v>0.11</v>
      </c>
      <c r="O156" s="36">
        <v>39</v>
      </c>
      <c r="P156" s="142"/>
    </row>
    <row r="157" spans="1:16" s="1" customFormat="1" ht="14.4" customHeight="1" x14ac:dyDescent="0.3">
      <c r="A157" s="35" t="s">
        <v>13</v>
      </c>
      <c r="B157" s="41" t="s">
        <v>78</v>
      </c>
      <c r="C157" s="41" t="s">
        <v>78</v>
      </c>
      <c r="D157" s="34">
        <v>60</v>
      </c>
      <c r="E157" s="34">
        <v>4.74</v>
      </c>
      <c r="F157" s="34">
        <v>0.6</v>
      </c>
      <c r="G157" s="34">
        <v>28.98</v>
      </c>
      <c r="H157" s="34">
        <v>140.28</v>
      </c>
      <c r="I157" s="34">
        <v>13.8</v>
      </c>
      <c r="J157" s="34">
        <v>19.8</v>
      </c>
      <c r="K157" s="34">
        <v>0.66</v>
      </c>
      <c r="L157" s="34">
        <v>52.2</v>
      </c>
      <c r="M157" s="34">
        <v>0.1</v>
      </c>
      <c r="N157" s="34">
        <v>0</v>
      </c>
      <c r="O157" s="36">
        <v>0</v>
      </c>
      <c r="P157" s="142"/>
    </row>
    <row r="158" spans="1:16" x14ac:dyDescent="0.3">
      <c r="A158" s="35" t="s">
        <v>42</v>
      </c>
      <c r="B158" s="41" t="s">
        <v>78</v>
      </c>
      <c r="C158" s="41" t="s">
        <v>78</v>
      </c>
      <c r="D158" s="44">
        <v>20</v>
      </c>
      <c r="E158" s="34">
        <v>0.38</v>
      </c>
      <c r="F158" s="34">
        <v>1.08</v>
      </c>
      <c r="G158" s="34">
        <v>6.41</v>
      </c>
      <c r="H158" s="34">
        <v>35.270000000000003</v>
      </c>
      <c r="I158" s="34">
        <v>8.1999999999999993</v>
      </c>
      <c r="J158" s="34">
        <v>3</v>
      </c>
      <c r="K158" s="34">
        <v>0.2</v>
      </c>
      <c r="L158" s="34">
        <v>17.399999999999999</v>
      </c>
      <c r="M158" s="34">
        <v>0.02</v>
      </c>
      <c r="N158" s="34">
        <v>0</v>
      </c>
      <c r="O158" s="36">
        <v>14.82</v>
      </c>
      <c r="P158" s="142"/>
    </row>
    <row r="159" spans="1:16" s="1" customFormat="1" x14ac:dyDescent="0.3">
      <c r="A159" s="42" t="s">
        <v>27</v>
      </c>
      <c r="B159" s="44">
        <v>2017</v>
      </c>
      <c r="C159" s="44">
        <v>379</v>
      </c>
      <c r="D159" s="44">
        <v>200</v>
      </c>
      <c r="E159" s="44">
        <v>3.6</v>
      </c>
      <c r="F159" s="44">
        <v>2.67</v>
      </c>
      <c r="G159" s="44">
        <v>29.2</v>
      </c>
      <c r="H159" s="44">
        <v>155.19999999999999</v>
      </c>
      <c r="I159" s="44">
        <v>158.66999999999999</v>
      </c>
      <c r="J159" s="44">
        <v>6.8</v>
      </c>
      <c r="K159" s="44">
        <v>0.22</v>
      </c>
      <c r="L159" s="44">
        <v>82.4</v>
      </c>
      <c r="M159" s="44">
        <v>7.0000000000000007E-2</v>
      </c>
      <c r="N159" s="44">
        <v>1.17</v>
      </c>
      <c r="O159" s="46">
        <v>6.84</v>
      </c>
      <c r="P159" s="142"/>
    </row>
    <row r="160" spans="1:16" s="1" customFormat="1" x14ac:dyDescent="0.3">
      <c r="A160" s="114" t="s">
        <v>16</v>
      </c>
      <c r="B160" s="43"/>
      <c r="C160" s="43"/>
      <c r="D160" s="34">
        <v>505</v>
      </c>
      <c r="E160" s="34">
        <f>SUM(E155:E159)</f>
        <v>19.240000000000002</v>
      </c>
      <c r="F160" s="34">
        <f>SUM(F155:F159)</f>
        <v>19.200000000000003</v>
      </c>
      <c r="G160" s="34">
        <f>SUM(G155:G159)</f>
        <v>83.710000000000008</v>
      </c>
      <c r="H160" s="34">
        <f>SUM(H155:H159)</f>
        <v>578.99</v>
      </c>
      <c r="I160" s="34">
        <v>471.31999999999994</v>
      </c>
      <c r="J160" s="34">
        <f>SUM(J155:J159)</f>
        <v>92.49</v>
      </c>
      <c r="K160" s="34">
        <f>SUM(K155:K159)</f>
        <v>2.64</v>
      </c>
      <c r="L160" s="34">
        <v>293.37</v>
      </c>
      <c r="M160" s="34">
        <v>0.41000000000000003</v>
      </c>
      <c r="N160" s="34">
        <v>1.8049999999999999</v>
      </c>
      <c r="O160" s="36">
        <v>78.330000000000013</v>
      </c>
      <c r="P160" s="142"/>
    </row>
    <row r="161" spans="1:16" s="1" customFormat="1" x14ac:dyDescent="0.3">
      <c r="A161" s="133" t="s">
        <v>89</v>
      </c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51"/>
      <c r="P161" s="142"/>
    </row>
    <row r="162" spans="1:16" s="1" customFormat="1" ht="28.2" x14ac:dyDescent="0.3">
      <c r="A162" s="32" t="s">
        <v>71</v>
      </c>
      <c r="B162" s="41">
        <v>2017</v>
      </c>
      <c r="C162" s="41">
        <v>92</v>
      </c>
      <c r="D162" s="44">
        <v>210</v>
      </c>
      <c r="E162" s="34">
        <v>1.31</v>
      </c>
      <c r="F162" s="34">
        <v>2.2200000000000002</v>
      </c>
      <c r="G162" s="34">
        <v>5.0179999999999998</v>
      </c>
      <c r="H162" s="34">
        <v>65.2</v>
      </c>
      <c r="I162" s="34">
        <v>37.86</v>
      </c>
      <c r="J162" s="34">
        <v>16.34</v>
      </c>
      <c r="K162" s="34">
        <v>0.62</v>
      </c>
      <c r="L162" s="34">
        <v>35.42</v>
      </c>
      <c r="M162" s="34">
        <v>0.02</v>
      </c>
      <c r="N162" s="34">
        <v>4.8600000000000003</v>
      </c>
      <c r="O162" s="36">
        <v>0</v>
      </c>
      <c r="P162" s="142"/>
    </row>
    <row r="163" spans="1:16" s="1" customFormat="1" ht="14.4" customHeight="1" x14ac:dyDescent="0.3">
      <c r="A163" s="42" t="s">
        <v>17</v>
      </c>
      <c r="B163" s="41">
        <v>2017</v>
      </c>
      <c r="C163" s="41">
        <v>288</v>
      </c>
      <c r="D163" s="41">
        <v>10</v>
      </c>
      <c r="E163" s="34">
        <v>2.11</v>
      </c>
      <c r="F163" s="34">
        <v>1.36</v>
      </c>
      <c r="G163" s="34">
        <v>0</v>
      </c>
      <c r="H163" s="34">
        <v>20.67</v>
      </c>
      <c r="I163" s="34">
        <v>3.9</v>
      </c>
      <c r="J163" s="34">
        <v>2</v>
      </c>
      <c r="K163" s="34">
        <v>0.18</v>
      </c>
      <c r="L163" s="34">
        <v>14.3</v>
      </c>
      <c r="M163" s="34">
        <v>0.04</v>
      </c>
      <c r="N163" s="34">
        <v>0</v>
      </c>
      <c r="O163" s="36">
        <v>2.2799999999999998</v>
      </c>
      <c r="P163" s="142"/>
    </row>
    <row r="164" spans="1:16" s="1" customFormat="1" ht="14.4" customHeight="1" x14ac:dyDescent="0.3">
      <c r="A164" s="76" t="s">
        <v>31</v>
      </c>
      <c r="B164" s="40">
        <v>2017</v>
      </c>
      <c r="C164" s="40" t="s">
        <v>86</v>
      </c>
      <c r="D164" s="44">
        <v>90</v>
      </c>
      <c r="E164" s="34">
        <v>12</v>
      </c>
      <c r="F164" s="34">
        <v>10.64</v>
      </c>
      <c r="G164" s="34">
        <v>11.66</v>
      </c>
      <c r="H164" s="34">
        <v>172.12</v>
      </c>
      <c r="I164" s="34">
        <v>163.8799999999992</v>
      </c>
      <c r="J164" s="34">
        <v>12.77</v>
      </c>
      <c r="K164" s="34">
        <v>1.08</v>
      </c>
      <c r="L164" s="34">
        <v>43.19</v>
      </c>
      <c r="M164" s="34">
        <v>0.1</v>
      </c>
      <c r="N164" s="34">
        <v>0.1</v>
      </c>
      <c r="O164" s="36">
        <v>241.65</v>
      </c>
      <c r="P164" s="142"/>
    </row>
    <row r="165" spans="1:16" s="1" customFormat="1" ht="14.4" customHeight="1" x14ac:dyDescent="0.3">
      <c r="A165" s="35" t="s">
        <v>51</v>
      </c>
      <c r="B165" s="44">
        <v>2017</v>
      </c>
      <c r="C165" s="44">
        <v>321</v>
      </c>
      <c r="D165" s="44">
        <v>150</v>
      </c>
      <c r="E165" s="34">
        <v>2.78</v>
      </c>
      <c r="F165" s="34">
        <v>6.48</v>
      </c>
      <c r="G165" s="34">
        <v>34.520000000000003</v>
      </c>
      <c r="H165" s="34">
        <v>213.53</v>
      </c>
      <c r="I165" s="34">
        <v>21.96</v>
      </c>
      <c r="J165" s="34">
        <v>28.96</v>
      </c>
      <c r="K165" s="34">
        <v>1.73</v>
      </c>
      <c r="L165" s="34">
        <v>119.59</v>
      </c>
      <c r="M165" s="34">
        <v>0.23</v>
      </c>
      <c r="N165" s="34">
        <v>31.5</v>
      </c>
      <c r="O165" s="36">
        <v>35.909999999999997</v>
      </c>
      <c r="P165" s="142"/>
    </row>
    <row r="166" spans="1:16" s="1" customFormat="1" x14ac:dyDescent="0.3">
      <c r="A166" s="82" t="s">
        <v>20</v>
      </c>
      <c r="B166" s="10">
        <v>2017</v>
      </c>
      <c r="C166" s="10">
        <v>71</v>
      </c>
      <c r="D166" s="84">
        <v>60</v>
      </c>
      <c r="E166" s="15">
        <v>2.16</v>
      </c>
      <c r="F166" s="15">
        <v>4.04</v>
      </c>
      <c r="G166" s="15">
        <v>1.01</v>
      </c>
      <c r="H166" s="15">
        <v>48.79</v>
      </c>
      <c r="I166" s="15">
        <v>13.8</v>
      </c>
      <c r="J166" s="15">
        <v>7</v>
      </c>
      <c r="K166" s="15">
        <v>0.42</v>
      </c>
      <c r="L166" s="15">
        <v>12</v>
      </c>
      <c r="M166" s="15">
        <v>0</v>
      </c>
      <c r="N166" s="15">
        <v>14.4</v>
      </c>
      <c r="O166" s="16">
        <v>0</v>
      </c>
      <c r="P166" s="142"/>
    </row>
    <row r="167" spans="1:16" s="1" customFormat="1" x14ac:dyDescent="0.3">
      <c r="A167" s="35" t="s">
        <v>53</v>
      </c>
      <c r="B167" s="44">
        <v>2017</v>
      </c>
      <c r="C167" s="44">
        <v>342</v>
      </c>
      <c r="D167" s="44">
        <v>200</v>
      </c>
      <c r="E167" s="34">
        <v>0.2</v>
      </c>
      <c r="F167" s="34">
        <v>0.2</v>
      </c>
      <c r="G167" s="34">
        <v>22.3</v>
      </c>
      <c r="H167" s="34">
        <v>110</v>
      </c>
      <c r="I167" s="34">
        <v>12</v>
      </c>
      <c r="J167" s="34">
        <v>0</v>
      </c>
      <c r="K167" s="34">
        <v>0.8</v>
      </c>
      <c r="L167" s="34">
        <v>2.4</v>
      </c>
      <c r="M167" s="34">
        <v>0.02</v>
      </c>
      <c r="N167" s="34">
        <v>0</v>
      </c>
      <c r="O167" s="36">
        <v>0</v>
      </c>
      <c r="P167" s="142"/>
    </row>
    <row r="168" spans="1:16" x14ac:dyDescent="0.3">
      <c r="A168" s="39" t="s">
        <v>21</v>
      </c>
      <c r="B168" s="41" t="s">
        <v>78</v>
      </c>
      <c r="C168" s="41" t="s">
        <v>78</v>
      </c>
      <c r="D168" s="41">
        <v>20</v>
      </c>
      <c r="E168" s="34">
        <v>1.58</v>
      </c>
      <c r="F168" s="34">
        <v>0.2</v>
      </c>
      <c r="G168" s="34">
        <v>9.66</v>
      </c>
      <c r="H168" s="34">
        <v>46.76</v>
      </c>
      <c r="I168" s="34">
        <v>4.5999999999999996</v>
      </c>
      <c r="J168" s="34">
        <v>6.6</v>
      </c>
      <c r="K168" s="34">
        <v>0.22</v>
      </c>
      <c r="L168" s="34">
        <v>17.399999999999999</v>
      </c>
      <c r="M168" s="34">
        <v>0.08</v>
      </c>
      <c r="N168" s="34">
        <v>0</v>
      </c>
      <c r="O168" s="36">
        <v>0</v>
      </c>
      <c r="P168" s="142"/>
    </row>
    <row r="169" spans="1:16" x14ac:dyDescent="0.3">
      <c r="A169" s="39" t="s">
        <v>22</v>
      </c>
      <c r="B169" s="41" t="s">
        <v>78</v>
      </c>
      <c r="C169" s="41" t="s">
        <v>78</v>
      </c>
      <c r="D169" s="40">
        <v>40</v>
      </c>
      <c r="E169" s="34">
        <v>2.2400000000000002</v>
      </c>
      <c r="F169" s="34">
        <v>0.44</v>
      </c>
      <c r="G169" s="34">
        <v>19.760000000000002</v>
      </c>
      <c r="H169" s="34">
        <v>91.96</v>
      </c>
      <c r="I169" s="34">
        <v>9.1999999999999993</v>
      </c>
      <c r="J169" s="34">
        <v>10</v>
      </c>
      <c r="K169" s="34">
        <v>1.24</v>
      </c>
      <c r="L169" s="34">
        <v>42.4</v>
      </c>
      <c r="M169" s="34">
        <v>0.04</v>
      </c>
      <c r="N169" s="34">
        <v>0</v>
      </c>
      <c r="O169" s="36">
        <v>0</v>
      </c>
      <c r="P169" s="142"/>
    </row>
    <row r="170" spans="1:16" x14ac:dyDescent="0.3">
      <c r="A170" s="114" t="s">
        <v>16</v>
      </c>
      <c r="B170" s="43"/>
      <c r="C170" s="43"/>
      <c r="D170" s="44">
        <f t="shared" ref="D170:O170" si="14">SUM(D162:D169)</f>
        <v>780</v>
      </c>
      <c r="E170" s="34">
        <f>SUM(E162:E169)</f>
        <v>24.380000000000003</v>
      </c>
      <c r="F170" s="34">
        <f>SUM(F162:F169)</f>
        <v>25.580000000000002</v>
      </c>
      <c r="G170" s="34">
        <f>SUM(G162:G169)</f>
        <v>103.92800000000001</v>
      </c>
      <c r="H170" s="34">
        <f>SUM(H162:H169)</f>
        <v>769.03</v>
      </c>
      <c r="I170" s="34">
        <f t="shared" si="14"/>
        <v>267.19999999999919</v>
      </c>
      <c r="J170" s="34">
        <f t="shared" si="14"/>
        <v>83.669999999999987</v>
      </c>
      <c r="K170" s="34">
        <f t="shared" si="14"/>
        <v>6.29</v>
      </c>
      <c r="L170" s="34">
        <f t="shared" si="14"/>
        <v>286.7</v>
      </c>
      <c r="M170" s="34">
        <f t="shared" si="14"/>
        <v>0.53</v>
      </c>
      <c r="N170" s="34">
        <f t="shared" si="14"/>
        <v>50.86</v>
      </c>
      <c r="O170" s="36">
        <f t="shared" si="14"/>
        <v>279.84000000000003</v>
      </c>
      <c r="P170" s="142"/>
    </row>
    <row r="171" spans="1:16" s="62" customFormat="1" x14ac:dyDescent="0.3">
      <c r="A171" s="67" t="s">
        <v>24</v>
      </c>
      <c r="B171" s="108"/>
      <c r="C171" s="108"/>
      <c r="D171" s="68">
        <f t="shared" ref="D171:K171" si="15">D170+D160</f>
        <v>1285</v>
      </c>
      <c r="E171" s="68">
        <f>E170+E160</f>
        <v>43.620000000000005</v>
      </c>
      <c r="F171" s="68">
        <f>F170+F160</f>
        <v>44.78</v>
      </c>
      <c r="G171" s="68">
        <f>G170+G160</f>
        <v>187.63800000000003</v>
      </c>
      <c r="H171" s="68">
        <f>H170+H160</f>
        <v>1348.02</v>
      </c>
      <c r="I171" s="68">
        <f t="shared" si="15"/>
        <v>738.51999999999907</v>
      </c>
      <c r="J171" s="68">
        <f>J170+J160</f>
        <v>176.15999999999997</v>
      </c>
      <c r="K171" s="68">
        <f t="shared" si="15"/>
        <v>8.93</v>
      </c>
      <c r="L171" s="68">
        <f>L170++L160</f>
        <v>580.06999999999994</v>
      </c>
      <c r="M171" s="68">
        <f>M170+M160</f>
        <v>0.94000000000000006</v>
      </c>
      <c r="N171" s="68">
        <f>N170+N160</f>
        <v>52.664999999999999</v>
      </c>
      <c r="O171" s="109">
        <f>O170+O160</f>
        <v>358.17000000000007</v>
      </c>
      <c r="P171" s="143"/>
    </row>
    <row r="172" spans="1:16" s="62" customFormat="1" x14ac:dyDescent="0.3">
      <c r="A172" s="138" t="s">
        <v>75</v>
      </c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96"/>
    </row>
    <row r="173" spans="1:16" s="62" customFormat="1" x14ac:dyDescent="0.3">
      <c r="A173" s="132" t="s">
        <v>91</v>
      </c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51"/>
      <c r="P173" s="141" t="s">
        <v>75</v>
      </c>
    </row>
    <row r="174" spans="1:16" s="62" customFormat="1" ht="28.2" x14ac:dyDescent="0.3">
      <c r="A174" s="32" t="s">
        <v>100</v>
      </c>
      <c r="B174" s="40">
        <v>2017</v>
      </c>
      <c r="C174" s="40">
        <v>183</v>
      </c>
      <c r="D174" s="44">
        <v>210</v>
      </c>
      <c r="E174" s="34">
        <v>7.21</v>
      </c>
      <c r="F174" s="34">
        <v>11.58</v>
      </c>
      <c r="G174" s="34">
        <v>7.86</v>
      </c>
      <c r="H174" s="34">
        <v>203</v>
      </c>
      <c r="I174" s="34">
        <f>92.24*210/100</f>
        <v>193.70399999999998</v>
      </c>
      <c r="J174" s="34">
        <v>43.1</v>
      </c>
      <c r="K174" s="34">
        <v>1.32</v>
      </c>
      <c r="L174" s="34">
        <v>147.69999999999999</v>
      </c>
      <c r="M174" s="34">
        <v>0.15</v>
      </c>
      <c r="N174" s="34">
        <v>0</v>
      </c>
      <c r="O174" s="36">
        <f>20*1.14</f>
        <v>22.799999999999997</v>
      </c>
      <c r="P174" s="144"/>
    </row>
    <row r="175" spans="1:16" x14ac:dyDescent="0.3">
      <c r="A175" s="35" t="s">
        <v>13</v>
      </c>
      <c r="B175" s="44" t="s">
        <v>78</v>
      </c>
      <c r="C175" s="44" t="s">
        <v>78</v>
      </c>
      <c r="D175" s="33">
        <v>60</v>
      </c>
      <c r="E175" s="34">
        <v>4.74</v>
      </c>
      <c r="F175" s="34">
        <v>0.6</v>
      </c>
      <c r="G175" s="34">
        <v>28.98</v>
      </c>
      <c r="H175" s="34">
        <v>140.28</v>
      </c>
      <c r="I175" s="34">
        <v>13.8</v>
      </c>
      <c r="J175" s="34">
        <v>19.8</v>
      </c>
      <c r="K175" s="34">
        <v>0.66</v>
      </c>
      <c r="L175" s="34">
        <v>52.2</v>
      </c>
      <c r="M175" s="34">
        <v>0.1</v>
      </c>
      <c r="N175" s="34">
        <v>0</v>
      </c>
      <c r="O175" s="36">
        <v>0</v>
      </c>
      <c r="P175" s="142"/>
    </row>
    <row r="176" spans="1:16" x14ac:dyDescent="0.3">
      <c r="A176" s="54" t="s">
        <v>49</v>
      </c>
      <c r="B176" s="34">
        <v>2017</v>
      </c>
      <c r="C176" s="34">
        <v>382</v>
      </c>
      <c r="D176" s="33">
        <v>200</v>
      </c>
      <c r="E176" s="34">
        <v>3.52</v>
      </c>
      <c r="F176" s="34">
        <v>3.72</v>
      </c>
      <c r="G176" s="34">
        <v>25.49</v>
      </c>
      <c r="H176" s="34">
        <v>145.19999999999999</v>
      </c>
      <c r="I176" s="34">
        <v>122</v>
      </c>
      <c r="J176" s="34">
        <v>14</v>
      </c>
      <c r="K176" s="34">
        <v>0.56000000000000005</v>
      </c>
      <c r="L176" s="34">
        <v>39</v>
      </c>
      <c r="M176" s="34">
        <v>0.04</v>
      </c>
      <c r="N176" s="34">
        <v>1.3</v>
      </c>
      <c r="O176" s="36">
        <f>0.01*1.14</f>
        <v>1.1399999999999999E-2</v>
      </c>
      <c r="P176" s="142"/>
    </row>
    <row r="177" spans="1:16" x14ac:dyDescent="0.3">
      <c r="A177" s="37" t="s">
        <v>29</v>
      </c>
      <c r="B177" s="41" t="s">
        <v>78</v>
      </c>
      <c r="C177" s="41" t="s">
        <v>78</v>
      </c>
      <c r="D177" s="41">
        <v>30</v>
      </c>
      <c r="E177" s="44">
        <f>0.1*30/20</f>
        <v>0.15</v>
      </c>
      <c r="F177" s="44">
        <v>0</v>
      </c>
      <c r="G177" s="44">
        <v>17.48</v>
      </c>
      <c r="H177" s="44">
        <f>57.68*30/20</f>
        <v>86.52000000000001</v>
      </c>
      <c r="I177" s="44">
        <f>2.4*30/20</f>
        <v>3.6</v>
      </c>
      <c r="J177" s="44">
        <f>1.8*30/20</f>
        <v>2.7</v>
      </c>
      <c r="K177" s="44">
        <f>0.08*30/20</f>
        <v>0.12</v>
      </c>
      <c r="L177" s="44">
        <f>3.6*30/20</f>
        <v>5.4</v>
      </c>
      <c r="M177" s="44">
        <v>0</v>
      </c>
      <c r="N177" s="44">
        <f>0.48*30/20</f>
        <v>0.72</v>
      </c>
      <c r="O177" s="46">
        <v>0</v>
      </c>
      <c r="P177" s="142"/>
    </row>
    <row r="178" spans="1:16" x14ac:dyDescent="0.3">
      <c r="A178" s="39" t="s">
        <v>16</v>
      </c>
      <c r="B178" s="40"/>
      <c r="C178" s="40"/>
      <c r="D178" s="33">
        <f t="shared" ref="D178" si="16">SUM(D174:D177)</f>
        <v>500</v>
      </c>
      <c r="E178" s="112">
        <f>SUM(E174:E177)</f>
        <v>15.62</v>
      </c>
      <c r="F178" s="34">
        <f>SUM(F174:F177)</f>
        <v>15.9</v>
      </c>
      <c r="G178" s="34">
        <f>SUM(G174:G177)</f>
        <v>79.81</v>
      </c>
      <c r="H178" s="34">
        <f>SUM(H174:H177)</f>
        <v>575</v>
      </c>
      <c r="I178" s="34">
        <f t="shared" ref="I178:O178" si="17">SUM(I174:I177)</f>
        <v>333.10400000000004</v>
      </c>
      <c r="J178" s="34">
        <f t="shared" si="17"/>
        <v>79.600000000000009</v>
      </c>
      <c r="K178" s="34">
        <f t="shared" si="17"/>
        <v>2.66</v>
      </c>
      <c r="L178" s="34">
        <f t="shared" si="17"/>
        <v>244.29999999999998</v>
      </c>
      <c r="M178" s="34">
        <f t="shared" si="17"/>
        <v>0.28999999999999998</v>
      </c>
      <c r="N178" s="34">
        <f t="shared" si="17"/>
        <v>2.02</v>
      </c>
      <c r="O178" s="36">
        <f t="shared" si="17"/>
        <v>22.811399999999995</v>
      </c>
      <c r="P178" s="142"/>
    </row>
    <row r="179" spans="1:16" x14ac:dyDescent="0.3">
      <c r="A179" s="133" t="s">
        <v>89</v>
      </c>
      <c r="B179" s="133"/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51"/>
      <c r="P179" s="142"/>
    </row>
    <row r="180" spans="1:16" x14ac:dyDescent="0.3">
      <c r="A180" s="35" t="s">
        <v>67</v>
      </c>
      <c r="B180" s="44">
        <v>2017</v>
      </c>
      <c r="C180" s="44">
        <v>97</v>
      </c>
      <c r="D180" s="44">
        <v>200</v>
      </c>
      <c r="E180" s="100">
        <v>1.87</v>
      </c>
      <c r="F180" s="100">
        <v>2.2599999999999998</v>
      </c>
      <c r="G180" s="100">
        <v>13.31</v>
      </c>
      <c r="H180" s="100">
        <v>81</v>
      </c>
      <c r="I180" s="100">
        <v>20.68</v>
      </c>
      <c r="J180" s="100">
        <v>14.9</v>
      </c>
      <c r="K180" s="74">
        <v>0.94</v>
      </c>
      <c r="L180" s="44">
        <v>61.44</v>
      </c>
      <c r="M180" s="100">
        <v>0.11</v>
      </c>
      <c r="N180" s="100">
        <v>1.6</v>
      </c>
      <c r="O180" s="100">
        <v>0</v>
      </c>
      <c r="P180" s="142"/>
    </row>
    <row r="181" spans="1:16" x14ac:dyDescent="0.3">
      <c r="A181" s="42" t="s">
        <v>17</v>
      </c>
      <c r="B181" s="40">
        <v>2017</v>
      </c>
      <c r="C181" s="40">
        <v>228</v>
      </c>
      <c r="D181" s="41">
        <v>10</v>
      </c>
      <c r="E181" s="34">
        <v>2.11</v>
      </c>
      <c r="F181" s="34">
        <v>1.36</v>
      </c>
      <c r="G181" s="34">
        <v>0</v>
      </c>
      <c r="H181" s="34">
        <v>20.67</v>
      </c>
      <c r="I181" s="34">
        <v>3.9</v>
      </c>
      <c r="J181" s="34">
        <v>2</v>
      </c>
      <c r="K181" s="34">
        <v>0.18</v>
      </c>
      <c r="L181" s="34">
        <v>14.3</v>
      </c>
      <c r="M181" s="34">
        <v>0.04</v>
      </c>
      <c r="N181" s="34">
        <v>0</v>
      </c>
      <c r="O181" s="36">
        <v>2.2799999999999998</v>
      </c>
      <c r="P181" s="142"/>
    </row>
    <row r="182" spans="1:16" ht="15.6" customHeight="1" x14ac:dyDescent="0.3">
      <c r="A182" s="32" t="s">
        <v>44</v>
      </c>
      <c r="B182" s="40">
        <v>2017</v>
      </c>
      <c r="C182" s="110" t="s">
        <v>87</v>
      </c>
      <c r="D182" s="44">
        <v>90</v>
      </c>
      <c r="E182" s="34">
        <v>11.99</v>
      </c>
      <c r="F182" s="34">
        <v>12.05</v>
      </c>
      <c r="G182" s="34">
        <v>8.67</v>
      </c>
      <c r="H182" s="34">
        <v>188.9</v>
      </c>
      <c r="I182" s="34">
        <v>187.3</v>
      </c>
      <c r="J182" s="34">
        <v>21.1</v>
      </c>
      <c r="K182" s="34">
        <v>0.59</v>
      </c>
      <c r="L182" s="34">
        <v>77.7</v>
      </c>
      <c r="M182" s="34">
        <v>0.06</v>
      </c>
      <c r="N182" s="34">
        <v>0.82</v>
      </c>
      <c r="O182" s="36">
        <v>296.15000000000038</v>
      </c>
      <c r="P182" s="142"/>
    </row>
    <row r="183" spans="1:16" x14ac:dyDescent="0.3">
      <c r="A183" s="35" t="s">
        <v>28</v>
      </c>
      <c r="B183" s="44">
        <v>2017</v>
      </c>
      <c r="C183" s="44">
        <v>304</v>
      </c>
      <c r="D183" s="44">
        <v>150</v>
      </c>
      <c r="E183" s="34">
        <v>3.67</v>
      </c>
      <c r="F183" s="34">
        <v>5.42</v>
      </c>
      <c r="G183" s="34">
        <v>36.67</v>
      </c>
      <c r="H183" s="34">
        <v>210.11</v>
      </c>
      <c r="I183" s="34">
        <v>19.77</v>
      </c>
      <c r="J183" s="34">
        <v>13.11</v>
      </c>
      <c r="K183" s="34">
        <v>0</v>
      </c>
      <c r="L183" s="34">
        <v>17.600000000000001</v>
      </c>
      <c r="M183" s="34">
        <v>0.05</v>
      </c>
      <c r="N183" s="34">
        <v>0</v>
      </c>
      <c r="O183" s="36">
        <v>0.15390000000000001</v>
      </c>
      <c r="P183" s="142"/>
    </row>
    <row r="184" spans="1:16" x14ac:dyDescent="0.3">
      <c r="A184" s="35" t="s">
        <v>46</v>
      </c>
      <c r="B184" s="44">
        <v>2017</v>
      </c>
      <c r="C184" s="44">
        <v>47</v>
      </c>
      <c r="D184" s="44">
        <v>60</v>
      </c>
      <c r="E184" s="44">
        <v>1.03</v>
      </c>
      <c r="F184" s="44">
        <v>3.01</v>
      </c>
      <c r="G184" s="44">
        <v>5.0999999999999996</v>
      </c>
      <c r="H184" s="44">
        <v>51.62</v>
      </c>
      <c r="I184" s="44">
        <v>31.47</v>
      </c>
      <c r="J184" s="44">
        <v>7.64</v>
      </c>
      <c r="K184" s="44">
        <v>0.4</v>
      </c>
      <c r="L184" s="44">
        <v>20.45</v>
      </c>
      <c r="M184" s="44">
        <v>0.01</v>
      </c>
      <c r="N184" s="44">
        <v>11.93</v>
      </c>
      <c r="O184" s="44">
        <v>0</v>
      </c>
      <c r="P184" s="142"/>
    </row>
    <row r="185" spans="1:16" x14ac:dyDescent="0.3">
      <c r="A185" s="42" t="s">
        <v>26</v>
      </c>
      <c r="B185" s="40">
        <v>2017</v>
      </c>
      <c r="C185" s="40">
        <v>377</v>
      </c>
      <c r="D185" s="44">
        <v>200</v>
      </c>
      <c r="E185" s="44">
        <v>0.13</v>
      </c>
      <c r="F185" s="44">
        <v>0.02</v>
      </c>
      <c r="G185" s="44">
        <v>10.25</v>
      </c>
      <c r="H185" s="44">
        <v>41.68</v>
      </c>
      <c r="I185" s="44">
        <v>14.05</v>
      </c>
      <c r="J185" s="44">
        <v>2.4</v>
      </c>
      <c r="K185" s="44">
        <v>0.38</v>
      </c>
      <c r="L185" s="44">
        <v>4.4000000000000004</v>
      </c>
      <c r="M185" s="44">
        <v>0</v>
      </c>
      <c r="N185" s="44">
        <v>2.83</v>
      </c>
      <c r="O185" s="46">
        <v>0</v>
      </c>
      <c r="P185" s="142"/>
    </row>
    <row r="186" spans="1:16" x14ac:dyDescent="0.3">
      <c r="A186" s="39" t="s">
        <v>21</v>
      </c>
      <c r="B186" s="40" t="s">
        <v>78</v>
      </c>
      <c r="C186" s="40" t="s">
        <v>78</v>
      </c>
      <c r="D186" s="41">
        <v>20</v>
      </c>
      <c r="E186" s="34">
        <v>1.58</v>
      </c>
      <c r="F186" s="34">
        <v>0.2</v>
      </c>
      <c r="G186" s="34">
        <v>9.66</v>
      </c>
      <c r="H186" s="34">
        <v>46.76</v>
      </c>
      <c r="I186" s="34">
        <v>4.5999999999999996</v>
      </c>
      <c r="J186" s="34">
        <v>6.6</v>
      </c>
      <c r="K186" s="34">
        <v>0.22</v>
      </c>
      <c r="L186" s="34">
        <v>17.399999999999999</v>
      </c>
      <c r="M186" s="34">
        <v>0.08</v>
      </c>
      <c r="N186" s="34">
        <v>0</v>
      </c>
      <c r="O186" s="36">
        <v>0</v>
      </c>
      <c r="P186" s="142"/>
    </row>
    <row r="187" spans="1:16" x14ac:dyDescent="0.3">
      <c r="A187" s="39" t="s">
        <v>22</v>
      </c>
      <c r="B187" s="40" t="s">
        <v>78</v>
      </c>
      <c r="C187" s="40" t="s">
        <v>78</v>
      </c>
      <c r="D187" s="40">
        <v>40</v>
      </c>
      <c r="E187" s="34">
        <v>2.2400000000000002</v>
      </c>
      <c r="F187" s="34">
        <v>0.44</v>
      </c>
      <c r="G187" s="34">
        <v>19.760000000000002</v>
      </c>
      <c r="H187" s="34">
        <v>91.96</v>
      </c>
      <c r="I187" s="34">
        <v>9.1999999999999993</v>
      </c>
      <c r="J187" s="34">
        <v>10</v>
      </c>
      <c r="K187" s="34">
        <v>1.24</v>
      </c>
      <c r="L187" s="34">
        <v>42.4</v>
      </c>
      <c r="M187" s="34">
        <v>0.04</v>
      </c>
      <c r="N187" s="34">
        <v>0</v>
      </c>
      <c r="O187" s="36">
        <v>0</v>
      </c>
      <c r="P187" s="142"/>
    </row>
    <row r="188" spans="1:16" x14ac:dyDescent="0.3">
      <c r="A188" s="114" t="s">
        <v>16</v>
      </c>
      <c r="B188" s="43"/>
      <c r="C188" s="43"/>
      <c r="D188" s="34">
        <f t="shared" ref="D188" si="18">SUM(D180:D187)</f>
        <v>770</v>
      </c>
      <c r="E188" s="34">
        <f t="shared" ref="E188:O188" si="19">SUM(E180:E187)</f>
        <v>24.620000000000005</v>
      </c>
      <c r="F188" s="34">
        <f t="shared" si="19"/>
        <v>24.76</v>
      </c>
      <c r="G188" s="34">
        <f t="shared" si="19"/>
        <v>103.42</v>
      </c>
      <c r="H188" s="34">
        <f t="shared" si="19"/>
        <v>732.69999999999993</v>
      </c>
      <c r="I188" s="34">
        <f t="shared" si="19"/>
        <v>290.97000000000003</v>
      </c>
      <c r="J188" s="34">
        <f t="shared" si="19"/>
        <v>77.75</v>
      </c>
      <c r="K188" s="34">
        <f t="shared" si="19"/>
        <v>3.95</v>
      </c>
      <c r="L188" s="34">
        <f t="shared" si="19"/>
        <v>255.69</v>
      </c>
      <c r="M188" s="34">
        <f t="shared" si="19"/>
        <v>0.39</v>
      </c>
      <c r="N188" s="34">
        <f t="shared" si="19"/>
        <v>17.18</v>
      </c>
      <c r="O188" s="34">
        <f t="shared" si="19"/>
        <v>298.58390000000037</v>
      </c>
      <c r="P188" s="142"/>
    </row>
    <row r="189" spans="1:16" s="62" customFormat="1" x14ac:dyDescent="0.3">
      <c r="A189" s="67" t="s">
        <v>24</v>
      </c>
      <c r="B189" s="108"/>
      <c r="C189" s="108"/>
      <c r="D189" s="68">
        <f t="shared" ref="D189" si="20">D188+D178</f>
        <v>1270</v>
      </c>
      <c r="E189" s="68">
        <f t="shared" ref="E189:O189" si="21">E188+E178</f>
        <v>40.24</v>
      </c>
      <c r="F189" s="68">
        <f t="shared" si="21"/>
        <v>40.660000000000004</v>
      </c>
      <c r="G189" s="68">
        <f t="shared" si="21"/>
        <v>183.23000000000002</v>
      </c>
      <c r="H189" s="68">
        <f t="shared" si="21"/>
        <v>1307.6999999999998</v>
      </c>
      <c r="I189" s="68">
        <f t="shared" si="21"/>
        <v>624.07400000000007</v>
      </c>
      <c r="J189" s="68">
        <f t="shared" si="21"/>
        <v>157.35000000000002</v>
      </c>
      <c r="K189" s="68">
        <f t="shared" si="21"/>
        <v>6.61</v>
      </c>
      <c r="L189" s="68">
        <f t="shared" si="21"/>
        <v>499.99</v>
      </c>
      <c r="M189" s="68">
        <f t="shared" si="21"/>
        <v>0.67999999999999994</v>
      </c>
      <c r="N189" s="68">
        <f t="shared" si="21"/>
        <v>19.2</v>
      </c>
      <c r="O189" s="68">
        <f t="shared" si="21"/>
        <v>321.39530000000036</v>
      </c>
      <c r="P189" s="143"/>
    </row>
    <row r="190" spans="1:16" s="62" customFormat="1" x14ac:dyDescent="0.3">
      <c r="A190" s="116" t="s">
        <v>92</v>
      </c>
      <c r="B190" s="111"/>
      <c r="C190" s="68" t="s">
        <v>103</v>
      </c>
      <c r="D190" s="68">
        <f t="shared" ref="D190:O190" si="22">(D189+D171+D152+D134+D117)/5</f>
        <v>1273</v>
      </c>
      <c r="E190" s="68">
        <f t="shared" si="22"/>
        <v>42.209177391304351</v>
      </c>
      <c r="F190" s="68">
        <f t="shared" si="22"/>
        <v>42.751999999999995</v>
      </c>
      <c r="G190" s="68">
        <f>(G189+G171+G152+G134+G117)/5</f>
        <v>187.35468</v>
      </c>
      <c r="H190" s="68">
        <f>(H189+H171+H152+H134+H117)/5</f>
        <v>1309.2505999999998</v>
      </c>
      <c r="I190" s="68">
        <f t="shared" si="22"/>
        <v>569.80119999999988</v>
      </c>
      <c r="J190" s="68">
        <f t="shared" si="22"/>
        <v>159.04000000000002</v>
      </c>
      <c r="K190" s="68">
        <f t="shared" si="22"/>
        <v>7.8245217391304349</v>
      </c>
      <c r="L190" s="68">
        <f t="shared" si="22"/>
        <v>528.79236521739131</v>
      </c>
      <c r="M190" s="68">
        <f t="shared" si="22"/>
        <v>0.77688695652173911</v>
      </c>
      <c r="N190" s="68">
        <f t="shared" si="22"/>
        <v>34.77484347826087</v>
      </c>
      <c r="O190" s="68">
        <f t="shared" si="22"/>
        <v>320.36634952380962</v>
      </c>
      <c r="P190" s="96"/>
    </row>
    <row r="191" spans="1:16" s="62" customFormat="1" x14ac:dyDescent="0.3">
      <c r="A191" s="117" t="s">
        <v>76</v>
      </c>
      <c r="B191" s="68"/>
      <c r="C191" s="68"/>
      <c r="D191" s="68">
        <v>1277</v>
      </c>
      <c r="E191" s="68">
        <f>(E190+E100)/2</f>
        <v>41.960046473429955</v>
      </c>
      <c r="F191" s="68">
        <f>(F190+F100)/2</f>
        <v>42.668477777777774</v>
      </c>
      <c r="G191" s="68">
        <f>(G190+G100)/2</f>
        <v>184.51005777777777</v>
      </c>
      <c r="H191" s="68">
        <f>(H190+H100)/2</f>
        <v>1302.4385222222222</v>
      </c>
      <c r="I191" s="68">
        <v>556.35726666666653</v>
      </c>
      <c r="J191" s="68">
        <v>151.94218888888889</v>
      </c>
      <c r="K191" s="68">
        <v>8.0369275362318842</v>
      </c>
      <c r="L191" s="68">
        <v>553.70387149758449</v>
      </c>
      <c r="M191" s="68">
        <v>0.72884347826086959</v>
      </c>
      <c r="N191" s="68">
        <v>36.187621739130435</v>
      </c>
      <c r="O191" s="68">
        <v>356.41054476190482</v>
      </c>
      <c r="P191" s="96"/>
    </row>
    <row r="192" spans="1:16" ht="13.95" customHeight="1" x14ac:dyDescent="0.3">
      <c r="A192" s="129" t="s">
        <v>104</v>
      </c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</row>
  </sheetData>
  <mergeCells count="57">
    <mergeCell ref="A173:O173"/>
    <mergeCell ref="A179:O179"/>
    <mergeCell ref="A142:O142"/>
    <mergeCell ref="A153:O153"/>
    <mergeCell ref="A154:O154"/>
    <mergeCell ref="A161:O161"/>
    <mergeCell ref="A172:O172"/>
    <mergeCell ref="A125:O125"/>
    <mergeCell ref="A136:O136"/>
    <mergeCell ref="A135:O135"/>
    <mergeCell ref="A101:O101"/>
    <mergeCell ref="A102:O102"/>
    <mergeCell ref="A108:O108"/>
    <mergeCell ref="A119:O119"/>
    <mergeCell ref="A118:O118"/>
    <mergeCell ref="B8:B9"/>
    <mergeCell ref="C8:C9"/>
    <mergeCell ref="E8:H8"/>
    <mergeCell ref="I8:L8"/>
    <mergeCell ref="M8:O8"/>
    <mergeCell ref="A10:O10"/>
    <mergeCell ref="A11:O11"/>
    <mergeCell ref="A18:O18"/>
    <mergeCell ref="A29:O29"/>
    <mergeCell ref="A30:O30"/>
    <mergeCell ref="A64:O64"/>
    <mergeCell ref="A65:O65"/>
    <mergeCell ref="A82:O82"/>
    <mergeCell ref="P12:P28"/>
    <mergeCell ref="P83:P99"/>
    <mergeCell ref="P66:P81"/>
    <mergeCell ref="P31:P46"/>
    <mergeCell ref="P48:P63"/>
    <mergeCell ref="A83:O83"/>
    <mergeCell ref="A71:O71"/>
    <mergeCell ref="A89:O89"/>
    <mergeCell ref="P154:P171"/>
    <mergeCell ref="P173:P189"/>
    <mergeCell ref="P119:P134"/>
    <mergeCell ref="P136:P152"/>
    <mergeCell ref="P103:P117"/>
    <mergeCell ref="A4:C4"/>
    <mergeCell ref="I4:P4"/>
    <mergeCell ref="A6:P7"/>
    <mergeCell ref="A192:P192"/>
    <mergeCell ref="A1:C1"/>
    <mergeCell ref="I1:P1"/>
    <mergeCell ref="A2:C2"/>
    <mergeCell ref="I2:P2"/>
    <mergeCell ref="A3:C3"/>
    <mergeCell ref="I3:P3"/>
    <mergeCell ref="A48:O48"/>
    <mergeCell ref="A54:O54"/>
    <mergeCell ref="A36:O36"/>
    <mergeCell ref="A47:O47"/>
    <mergeCell ref="A8:A9"/>
    <mergeCell ref="D8:D9"/>
  </mergeCells>
  <pageMargins left="0.51181102362204722" right="0.31496062992125984" top="0.51181102362204722" bottom="0.43307086614173229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0"/>
  <sheetViews>
    <sheetView tabSelected="1" view="pageBreakPreview" topLeftCell="A163" zoomScaleNormal="100" zoomScaleSheetLayoutView="100" workbookViewId="0">
      <selection activeCell="H121" sqref="H121"/>
    </sheetView>
  </sheetViews>
  <sheetFormatPr defaultRowHeight="14.4" x14ac:dyDescent="0.3"/>
  <cols>
    <col min="1" max="1" width="47.109375" style="91" customWidth="1"/>
    <col min="2" max="2" width="13.44140625" style="75" customWidth="1"/>
    <col min="3" max="3" width="10.5546875" style="75" customWidth="1"/>
    <col min="4" max="4" width="8.109375" style="75" customWidth="1"/>
    <col min="5" max="6" width="7.6640625" style="75" customWidth="1"/>
    <col min="7" max="7" width="8" style="75" customWidth="1"/>
    <col min="8" max="8" width="8.88671875" style="75"/>
    <col min="9" max="9" width="8.109375" style="75" customWidth="1"/>
    <col min="10" max="10" width="8.88671875" style="75"/>
    <col min="11" max="11" width="7.44140625" style="75" customWidth="1"/>
    <col min="12" max="12" width="8.109375" style="75" customWidth="1"/>
    <col min="13" max="14" width="7.5546875" style="75" customWidth="1"/>
    <col min="15" max="15" width="7.88671875" style="75" customWidth="1"/>
    <col min="16" max="16" width="3.33203125" style="62" customWidth="1"/>
  </cols>
  <sheetData>
    <row r="1" spans="1:18" x14ac:dyDescent="0.3">
      <c r="A1" s="164" t="s">
        <v>93</v>
      </c>
      <c r="B1" s="164"/>
      <c r="C1" s="164"/>
      <c r="D1" s="118"/>
      <c r="E1" s="118"/>
      <c r="F1" s="118"/>
      <c r="G1" s="118"/>
      <c r="H1" s="118"/>
      <c r="I1" s="162" t="s">
        <v>94</v>
      </c>
      <c r="J1" s="162"/>
      <c r="K1" s="162"/>
      <c r="L1" s="162"/>
      <c r="M1" s="162"/>
      <c r="N1" s="162"/>
      <c r="O1" s="162"/>
      <c r="P1" s="162"/>
    </row>
    <row r="2" spans="1:18" x14ac:dyDescent="0.3">
      <c r="A2" s="165"/>
      <c r="B2" s="165"/>
      <c r="C2" s="165"/>
      <c r="D2" s="118"/>
      <c r="E2" s="118"/>
      <c r="F2" s="118"/>
      <c r="G2" s="118"/>
      <c r="H2" s="118"/>
      <c r="I2" s="162" t="s">
        <v>96</v>
      </c>
      <c r="J2" s="162"/>
      <c r="K2" s="162"/>
      <c r="L2" s="162"/>
      <c r="M2" s="162"/>
      <c r="N2" s="162"/>
      <c r="O2" s="162"/>
      <c r="P2" s="162"/>
    </row>
    <row r="3" spans="1:18" ht="15.6" customHeight="1" x14ac:dyDescent="0.3">
      <c r="A3" s="161"/>
      <c r="B3" s="161"/>
      <c r="C3" s="161"/>
      <c r="D3" s="118"/>
      <c r="E3" s="118"/>
      <c r="F3" s="118"/>
      <c r="G3" s="118"/>
      <c r="H3" s="118"/>
      <c r="I3" s="162" t="s">
        <v>95</v>
      </c>
      <c r="J3" s="162"/>
      <c r="K3" s="162"/>
      <c r="L3" s="162"/>
      <c r="M3" s="162"/>
      <c r="N3" s="162"/>
      <c r="O3" s="162"/>
      <c r="P3" s="162"/>
    </row>
    <row r="4" spans="1:18" x14ac:dyDescent="0.3">
      <c r="A4" s="161"/>
      <c r="B4" s="161"/>
      <c r="C4" s="161"/>
      <c r="D4" s="118"/>
      <c r="E4" s="118"/>
      <c r="F4" s="118"/>
      <c r="G4" s="118"/>
      <c r="H4" s="118"/>
      <c r="I4" s="162" t="s">
        <v>97</v>
      </c>
      <c r="J4" s="162"/>
      <c r="K4" s="162"/>
      <c r="L4" s="162"/>
      <c r="M4" s="162"/>
      <c r="N4" s="162"/>
      <c r="O4" s="162"/>
      <c r="P4" s="162"/>
    </row>
    <row r="5" spans="1:18" ht="10.199999999999999" customHeight="1" x14ac:dyDescent="0.3">
      <c r="A5" s="119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6"/>
    </row>
    <row r="6" spans="1:18" s="64" customFormat="1" ht="22.2" customHeight="1" x14ac:dyDescent="0.35">
      <c r="A6" s="128" t="s">
        <v>101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</row>
    <row r="7" spans="1:18" s="64" customFormat="1" ht="15.6" customHeight="1" x14ac:dyDescent="0.35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</row>
    <row r="8" spans="1:18" ht="0.6" customHeight="1" x14ac:dyDescent="0.3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</row>
    <row r="9" spans="1:18" ht="7.95" customHeight="1" x14ac:dyDescent="0.3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</row>
    <row r="10" spans="1:18" ht="15.6" customHeight="1" x14ac:dyDescent="0.3">
      <c r="A10" s="139" t="s">
        <v>80</v>
      </c>
      <c r="B10" s="140" t="s">
        <v>79</v>
      </c>
      <c r="C10" s="140" t="s">
        <v>99</v>
      </c>
      <c r="D10" s="140" t="s">
        <v>81</v>
      </c>
      <c r="E10" s="139" t="s">
        <v>82</v>
      </c>
      <c r="F10" s="139"/>
      <c r="G10" s="139"/>
      <c r="H10" s="139"/>
      <c r="I10" s="139" t="s">
        <v>83</v>
      </c>
      <c r="J10" s="139"/>
      <c r="K10" s="139"/>
      <c r="L10" s="139"/>
      <c r="M10" s="139" t="s">
        <v>84</v>
      </c>
      <c r="N10" s="139"/>
      <c r="O10" s="139"/>
      <c r="P10" s="96"/>
    </row>
    <row r="11" spans="1:18" ht="70.95" customHeight="1" x14ac:dyDescent="0.3">
      <c r="A11" s="139"/>
      <c r="B11" s="140"/>
      <c r="C11" s="140"/>
      <c r="D11" s="140"/>
      <c r="E11" s="107" t="s">
        <v>1</v>
      </c>
      <c r="F11" s="107" t="s">
        <v>2</v>
      </c>
      <c r="G11" s="107" t="s">
        <v>3</v>
      </c>
      <c r="H11" s="107" t="s">
        <v>4</v>
      </c>
      <c r="I11" s="107" t="s">
        <v>5</v>
      </c>
      <c r="J11" s="107" t="s">
        <v>6</v>
      </c>
      <c r="K11" s="107" t="s">
        <v>7</v>
      </c>
      <c r="L11" s="107" t="s">
        <v>8</v>
      </c>
      <c r="M11" s="107" t="s">
        <v>9</v>
      </c>
      <c r="N11" s="107" t="s">
        <v>10</v>
      </c>
      <c r="O11" s="107" t="s">
        <v>11</v>
      </c>
      <c r="P11" s="96"/>
    </row>
    <row r="12" spans="1:18" s="62" customFormat="1" ht="13.95" customHeight="1" x14ac:dyDescent="0.3">
      <c r="A12" s="156" t="s">
        <v>25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  <c r="P12" s="147" t="s">
        <v>25</v>
      </c>
      <c r="Q12" s="61"/>
      <c r="R12" s="61"/>
    </row>
    <row r="13" spans="1:18" s="62" customFormat="1" ht="13.95" customHeight="1" x14ac:dyDescent="0.3">
      <c r="A13" s="156" t="s">
        <v>88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8"/>
      <c r="P13" s="147"/>
      <c r="Q13" s="61"/>
      <c r="R13" s="61"/>
    </row>
    <row r="14" spans="1:18" ht="26.4" customHeight="1" x14ac:dyDescent="0.3">
      <c r="A14" s="82" t="s">
        <v>0</v>
      </c>
      <c r="B14" s="24">
        <v>2017</v>
      </c>
      <c r="C14" s="24">
        <v>173</v>
      </c>
      <c r="D14" s="28">
        <v>260</v>
      </c>
      <c r="E14" s="4">
        <v>10.29</v>
      </c>
      <c r="F14" s="4">
        <v>14.18</v>
      </c>
      <c r="G14" s="4">
        <v>27.39</v>
      </c>
      <c r="H14" s="4">
        <v>271.49</v>
      </c>
      <c r="I14" s="4">
        <v>196.42380952380952</v>
      </c>
      <c r="J14" s="4">
        <v>89.204761904761909</v>
      </c>
      <c r="K14" s="4">
        <v>1.7457142857142856</v>
      </c>
      <c r="L14" s="4">
        <v>82.172380952380962</v>
      </c>
      <c r="M14" s="4">
        <v>0.26</v>
      </c>
      <c r="N14" s="4">
        <v>0.65619047619047621</v>
      </c>
      <c r="O14" s="4">
        <v>21.877142857142861</v>
      </c>
      <c r="P14" s="147"/>
      <c r="Q14" s="9"/>
      <c r="R14" s="9"/>
    </row>
    <row r="15" spans="1:18" ht="14.4" customHeight="1" x14ac:dyDescent="0.3">
      <c r="A15" s="27" t="s">
        <v>12</v>
      </c>
      <c r="B15" s="24">
        <v>2017</v>
      </c>
      <c r="C15" s="24">
        <v>15</v>
      </c>
      <c r="D15" s="28">
        <v>15</v>
      </c>
      <c r="E15" s="4">
        <v>3.48</v>
      </c>
      <c r="F15" s="4">
        <v>4.43</v>
      </c>
      <c r="G15" s="4">
        <v>0</v>
      </c>
      <c r="H15" s="4">
        <v>54.6</v>
      </c>
      <c r="I15" s="4">
        <v>132</v>
      </c>
      <c r="J15" s="4">
        <v>5.25</v>
      </c>
      <c r="K15" s="4">
        <v>0.15</v>
      </c>
      <c r="L15" s="4">
        <v>75</v>
      </c>
      <c r="M15" s="4">
        <v>0.01</v>
      </c>
      <c r="N15" s="4">
        <v>0.11</v>
      </c>
      <c r="O15" s="5">
        <v>39</v>
      </c>
      <c r="P15" s="147"/>
      <c r="Q15" s="9"/>
      <c r="R15" s="9"/>
    </row>
    <row r="16" spans="1:18" ht="14.4" customHeight="1" x14ac:dyDescent="0.3">
      <c r="A16" s="27" t="s">
        <v>13</v>
      </c>
      <c r="B16" s="24" t="s">
        <v>78</v>
      </c>
      <c r="C16" s="24" t="s">
        <v>78</v>
      </c>
      <c r="D16" s="28">
        <v>60</v>
      </c>
      <c r="E16" s="4">
        <v>4.74</v>
      </c>
      <c r="F16" s="4">
        <v>0.6</v>
      </c>
      <c r="G16" s="4">
        <v>28.98</v>
      </c>
      <c r="H16" s="4">
        <v>140.28</v>
      </c>
      <c r="I16" s="4">
        <v>13.8</v>
      </c>
      <c r="J16" s="4">
        <v>19.8</v>
      </c>
      <c r="K16" s="4">
        <v>0.66</v>
      </c>
      <c r="L16" s="4">
        <v>52.2</v>
      </c>
      <c r="M16" s="4">
        <v>0.1</v>
      </c>
      <c r="N16" s="4">
        <v>0</v>
      </c>
      <c r="O16" s="5">
        <v>0</v>
      </c>
      <c r="P16" s="147"/>
      <c r="Q16" s="9"/>
      <c r="R16" s="9"/>
    </row>
    <row r="17" spans="1:18" ht="14.4" customHeight="1" x14ac:dyDescent="0.3">
      <c r="A17" s="27" t="s">
        <v>14</v>
      </c>
      <c r="B17" s="10">
        <v>2017</v>
      </c>
      <c r="C17" s="10">
        <v>376</v>
      </c>
      <c r="D17" s="28">
        <v>200</v>
      </c>
      <c r="E17" s="4">
        <v>0.2</v>
      </c>
      <c r="F17" s="4">
        <v>0</v>
      </c>
      <c r="G17" s="4">
        <v>14</v>
      </c>
      <c r="H17" s="4">
        <v>28</v>
      </c>
      <c r="I17" s="4">
        <v>6</v>
      </c>
      <c r="J17" s="4">
        <v>0</v>
      </c>
      <c r="K17" s="4">
        <v>0.4</v>
      </c>
      <c r="L17" s="4">
        <v>0</v>
      </c>
      <c r="M17" s="4">
        <v>0</v>
      </c>
      <c r="N17" s="4">
        <v>0</v>
      </c>
      <c r="O17" s="4">
        <v>0</v>
      </c>
      <c r="P17" s="147"/>
      <c r="Q17" s="9"/>
      <c r="R17" s="9"/>
    </row>
    <row r="18" spans="1:18" ht="14.4" customHeight="1" x14ac:dyDescent="0.3">
      <c r="A18" s="77" t="s">
        <v>29</v>
      </c>
      <c r="B18" s="24" t="s">
        <v>78</v>
      </c>
      <c r="C18" s="24" t="s">
        <v>78</v>
      </c>
      <c r="D18" s="78">
        <v>20</v>
      </c>
      <c r="E18" s="4">
        <v>0.1</v>
      </c>
      <c r="F18" s="4">
        <v>0</v>
      </c>
      <c r="G18" s="4">
        <v>14.32</v>
      </c>
      <c r="H18" s="4">
        <v>57.68</v>
      </c>
      <c r="I18" s="4">
        <v>2.4</v>
      </c>
      <c r="J18" s="4">
        <v>1.8</v>
      </c>
      <c r="K18" s="4">
        <v>0.08</v>
      </c>
      <c r="L18" s="4">
        <v>3.6</v>
      </c>
      <c r="M18" s="4">
        <v>0</v>
      </c>
      <c r="N18" s="4">
        <v>0.48</v>
      </c>
      <c r="O18" s="4">
        <v>0</v>
      </c>
      <c r="P18" s="147"/>
      <c r="Q18" s="9"/>
      <c r="R18" s="9"/>
    </row>
    <row r="19" spans="1:18" ht="14.4" customHeight="1" x14ac:dyDescent="0.3">
      <c r="A19" s="90" t="s">
        <v>16</v>
      </c>
      <c r="B19" s="31"/>
      <c r="C19" s="31"/>
      <c r="D19" s="12">
        <v>555</v>
      </c>
      <c r="E19" s="4">
        <f>SUM(E14:E18)</f>
        <v>18.809999999999999</v>
      </c>
      <c r="F19" s="4">
        <f>SUM(F14:F18)</f>
        <v>19.21</v>
      </c>
      <c r="G19" s="4">
        <f>SUM(G14:G18)</f>
        <v>84.69</v>
      </c>
      <c r="H19" s="4">
        <f t="shared" ref="H19:O19" si="0">SUM(H14:H18)</f>
        <v>552.04999999999995</v>
      </c>
      <c r="I19" s="4">
        <f t="shared" si="0"/>
        <v>350.62380952380948</v>
      </c>
      <c r="J19" s="4">
        <f t="shared" si="0"/>
        <v>116.0547619047619</v>
      </c>
      <c r="K19" s="4">
        <f t="shared" si="0"/>
        <v>3.0357142857142856</v>
      </c>
      <c r="L19" s="4">
        <f t="shared" si="0"/>
        <v>212.97238095238097</v>
      </c>
      <c r="M19" s="4">
        <f t="shared" si="0"/>
        <v>0.37</v>
      </c>
      <c r="N19" s="4">
        <f t="shared" si="0"/>
        <v>1.2461904761904763</v>
      </c>
      <c r="O19" s="5">
        <f t="shared" si="0"/>
        <v>60.877142857142857</v>
      </c>
      <c r="P19" s="147"/>
      <c r="Q19" s="9"/>
      <c r="R19" s="9"/>
    </row>
    <row r="20" spans="1:18" ht="14.4" customHeight="1" x14ac:dyDescent="0.3">
      <c r="A20" s="159" t="s">
        <v>89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60"/>
      <c r="P20" s="147"/>
      <c r="Q20" s="9"/>
      <c r="R20" s="9"/>
    </row>
    <row r="21" spans="1:18" ht="14.4" customHeight="1" x14ac:dyDescent="0.3">
      <c r="A21" s="13" t="s">
        <v>57</v>
      </c>
      <c r="B21" s="10">
        <v>2017</v>
      </c>
      <c r="C21" s="10">
        <v>102</v>
      </c>
      <c r="D21" s="24">
        <v>250</v>
      </c>
      <c r="E21" s="4">
        <v>5.49</v>
      </c>
      <c r="F21" s="4">
        <v>5.28</v>
      </c>
      <c r="G21" s="4">
        <v>16.329999999999998</v>
      </c>
      <c r="H21" s="4">
        <v>134.75</v>
      </c>
      <c r="I21" s="4">
        <v>38.08</v>
      </c>
      <c r="J21" s="4">
        <v>35.299999999999997</v>
      </c>
      <c r="K21" s="4">
        <v>2.0299999999999998</v>
      </c>
      <c r="L21" s="4">
        <v>87.18</v>
      </c>
      <c r="M21" s="4">
        <v>0.08</v>
      </c>
      <c r="N21" s="4">
        <v>5.81</v>
      </c>
      <c r="O21" s="5">
        <v>0</v>
      </c>
      <c r="P21" s="147"/>
      <c r="Q21" s="9"/>
      <c r="R21" s="9"/>
    </row>
    <row r="22" spans="1:18" ht="14.4" customHeight="1" x14ac:dyDescent="0.3">
      <c r="A22" s="13" t="s">
        <v>17</v>
      </c>
      <c r="B22" s="24">
        <v>2017</v>
      </c>
      <c r="C22" s="10">
        <v>288</v>
      </c>
      <c r="D22" s="24">
        <v>10</v>
      </c>
      <c r="E22" s="4">
        <v>2.11</v>
      </c>
      <c r="F22" s="4">
        <v>1.36</v>
      </c>
      <c r="G22" s="4">
        <v>0</v>
      </c>
      <c r="H22" s="4">
        <v>20.67</v>
      </c>
      <c r="I22" s="4">
        <v>3.9</v>
      </c>
      <c r="J22" s="4">
        <v>2</v>
      </c>
      <c r="K22" s="4">
        <v>0.18</v>
      </c>
      <c r="L22" s="4">
        <v>14.3</v>
      </c>
      <c r="M22" s="4">
        <v>0.04</v>
      </c>
      <c r="N22" s="4">
        <v>0</v>
      </c>
      <c r="O22" s="5">
        <v>2.2799999999999998</v>
      </c>
      <c r="P22" s="147"/>
      <c r="Q22" s="9"/>
      <c r="R22" s="9"/>
    </row>
    <row r="23" spans="1:18" ht="14.4" customHeight="1" x14ac:dyDescent="0.3">
      <c r="A23" s="13" t="s">
        <v>18</v>
      </c>
      <c r="B23" s="10">
        <v>2017</v>
      </c>
      <c r="C23" s="10">
        <v>255</v>
      </c>
      <c r="D23" s="24">
        <v>100</v>
      </c>
      <c r="E23" s="4">
        <v>10.130000000000001</v>
      </c>
      <c r="F23" s="4">
        <v>11.23</v>
      </c>
      <c r="G23" s="4">
        <v>3.9</v>
      </c>
      <c r="H23" s="4">
        <v>163.41999999999999</v>
      </c>
      <c r="I23" s="4">
        <v>38.24</v>
      </c>
      <c r="J23" s="4">
        <v>17.47</v>
      </c>
      <c r="K23" s="4">
        <v>4.7444444444444436</v>
      </c>
      <c r="L23" s="4">
        <v>239.32</v>
      </c>
      <c r="M23" s="4">
        <v>0.2</v>
      </c>
      <c r="N23" s="4">
        <v>4.12</v>
      </c>
      <c r="O23" s="5">
        <v>366.51</v>
      </c>
      <c r="P23" s="147"/>
      <c r="Q23" s="9"/>
      <c r="R23" s="9"/>
    </row>
    <row r="24" spans="1:18" ht="14.4" customHeight="1" x14ac:dyDescent="0.3">
      <c r="A24" s="13" t="s">
        <v>19</v>
      </c>
      <c r="B24" s="25">
        <v>2017</v>
      </c>
      <c r="C24" s="25">
        <v>302</v>
      </c>
      <c r="D24" s="24">
        <v>200</v>
      </c>
      <c r="E24" s="4">
        <v>5.0999999999999996</v>
      </c>
      <c r="F24" s="4">
        <f>5.17*200/150</f>
        <v>6.8933333333333335</v>
      </c>
      <c r="G24" s="4">
        <v>47.76</v>
      </c>
      <c r="H24" s="4">
        <v>261.54000000000002</v>
      </c>
      <c r="I24" s="4">
        <v>17.306666666666668</v>
      </c>
      <c r="J24" s="4">
        <v>43.333333333333336</v>
      </c>
      <c r="K24" s="4">
        <v>5.2666666666666666</v>
      </c>
      <c r="L24" s="4">
        <v>144.66666666666666</v>
      </c>
      <c r="M24" s="4">
        <v>0.13333333333333333</v>
      </c>
      <c r="N24" s="4">
        <v>0</v>
      </c>
      <c r="O24" s="5">
        <v>2.6666666666666668E-2</v>
      </c>
      <c r="P24" s="147"/>
      <c r="Q24" s="9"/>
      <c r="R24" s="9"/>
    </row>
    <row r="25" spans="1:18" ht="14.4" customHeight="1" x14ac:dyDescent="0.3">
      <c r="A25" s="82" t="s">
        <v>20</v>
      </c>
      <c r="B25" s="10">
        <v>2017</v>
      </c>
      <c r="C25" s="10">
        <v>71</v>
      </c>
      <c r="D25" s="84">
        <v>60</v>
      </c>
      <c r="E25" s="15">
        <v>2.16</v>
      </c>
      <c r="F25" s="15">
        <v>4.04</v>
      </c>
      <c r="G25" s="15">
        <v>1.01</v>
      </c>
      <c r="H25" s="15">
        <v>48.79</v>
      </c>
      <c r="I25" s="15">
        <v>13.8</v>
      </c>
      <c r="J25" s="15">
        <v>7</v>
      </c>
      <c r="K25" s="15">
        <v>0.42</v>
      </c>
      <c r="L25" s="15">
        <v>12</v>
      </c>
      <c r="M25" s="15">
        <v>0</v>
      </c>
      <c r="N25" s="15">
        <v>14.4</v>
      </c>
      <c r="O25" s="16">
        <v>0</v>
      </c>
      <c r="P25" s="147"/>
      <c r="Q25" s="9"/>
      <c r="R25" s="9"/>
    </row>
    <row r="26" spans="1:18" ht="14.4" customHeight="1" x14ac:dyDescent="0.3">
      <c r="A26" s="82" t="s">
        <v>21</v>
      </c>
      <c r="B26" s="10" t="s">
        <v>78</v>
      </c>
      <c r="C26" s="24" t="s">
        <v>78</v>
      </c>
      <c r="D26" s="79">
        <v>20</v>
      </c>
      <c r="E26" s="4">
        <v>1.58</v>
      </c>
      <c r="F26" s="4">
        <v>0.2</v>
      </c>
      <c r="G26" s="4">
        <v>9.66</v>
      </c>
      <c r="H26" s="4">
        <v>46.76</v>
      </c>
      <c r="I26" s="4">
        <v>4.5999999999999996</v>
      </c>
      <c r="J26" s="4">
        <v>6.6</v>
      </c>
      <c r="K26" s="4">
        <v>0.22</v>
      </c>
      <c r="L26" s="4">
        <v>17.399999999999999</v>
      </c>
      <c r="M26" s="4">
        <v>0.08</v>
      </c>
      <c r="N26" s="4">
        <v>0</v>
      </c>
      <c r="O26" s="5">
        <v>0</v>
      </c>
      <c r="P26" s="147"/>
      <c r="Q26" s="9"/>
      <c r="R26" s="9"/>
    </row>
    <row r="27" spans="1:18" ht="14.4" customHeight="1" x14ac:dyDescent="0.3">
      <c r="A27" s="82" t="s">
        <v>22</v>
      </c>
      <c r="B27" s="10" t="s">
        <v>78</v>
      </c>
      <c r="C27" s="24" t="s">
        <v>78</v>
      </c>
      <c r="D27" s="80">
        <v>40</v>
      </c>
      <c r="E27" s="4">
        <v>2.2400000000000002</v>
      </c>
      <c r="F27" s="4">
        <v>0.44</v>
      </c>
      <c r="G27" s="4">
        <v>19.760000000000002</v>
      </c>
      <c r="H27" s="4">
        <v>91.96</v>
      </c>
      <c r="I27" s="4">
        <v>9.1999999999999993</v>
      </c>
      <c r="J27" s="4">
        <v>10</v>
      </c>
      <c r="K27" s="4">
        <v>1.24</v>
      </c>
      <c r="L27" s="4">
        <v>42.4</v>
      </c>
      <c r="M27" s="4">
        <v>0.04</v>
      </c>
      <c r="N27" s="4">
        <v>0</v>
      </c>
      <c r="O27" s="5">
        <v>0</v>
      </c>
      <c r="P27" s="147"/>
      <c r="Q27" s="9"/>
      <c r="R27" s="9"/>
    </row>
    <row r="28" spans="1:18" ht="14.4" customHeight="1" x14ac:dyDescent="0.3">
      <c r="A28" s="89" t="s">
        <v>23</v>
      </c>
      <c r="B28" s="25">
        <v>2017</v>
      </c>
      <c r="C28" s="25">
        <v>349</v>
      </c>
      <c r="D28" s="25">
        <v>200</v>
      </c>
      <c r="E28" s="21">
        <v>0.04</v>
      </c>
      <c r="F28" s="21">
        <v>0</v>
      </c>
      <c r="G28" s="21">
        <v>24.76</v>
      </c>
      <c r="H28" s="21">
        <v>94.2</v>
      </c>
      <c r="I28" s="21">
        <v>6.4</v>
      </c>
      <c r="J28" s="21">
        <v>0</v>
      </c>
      <c r="K28" s="21">
        <v>0.18</v>
      </c>
      <c r="L28" s="21">
        <v>3.6</v>
      </c>
      <c r="M28" s="21">
        <v>0.01</v>
      </c>
      <c r="N28" s="21">
        <v>1.08</v>
      </c>
      <c r="O28" s="21">
        <v>0</v>
      </c>
      <c r="P28" s="147"/>
      <c r="Q28" s="9"/>
      <c r="R28" s="9"/>
    </row>
    <row r="29" spans="1:18" ht="14.4" customHeight="1" x14ac:dyDescent="0.3">
      <c r="A29" s="13" t="s">
        <v>16</v>
      </c>
      <c r="B29" s="10"/>
      <c r="C29" s="10"/>
      <c r="D29" s="11">
        <f t="shared" ref="D29:O29" si="1">SUM(D21:D28)</f>
        <v>880</v>
      </c>
      <c r="E29" s="4">
        <f>SUM(E21:E28)</f>
        <v>28.85</v>
      </c>
      <c r="F29" s="4">
        <f>SUM(F21:F28)</f>
        <v>29.443333333333335</v>
      </c>
      <c r="G29" s="4">
        <f>SUM(G21:G28)</f>
        <v>123.18</v>
      </c>
      <c r="H29" s="4">
        <f t="shared" si="1"/>
        <v>862.09000000000015</v>
      </c>
      <c r="I29" s="4">
        <f t="shared" si="1"/>
        <v>131.52666666666667</v>
      </c>
      <c r="J29" s="4">
        <f t="shared" si="1"/>
        <v>121.70333333333332</v>
      </c>
      <c r="K29" s="4">
        <f t="shared" si="1"/>
        <v>14.281111111111111</v>
      </c>
      <c r="L29" s="4">
        <f t="shared" si="1"/>
        <v>560.86666666666667</v>
      </c>
      <c r="M29" s="4">
        <f t="shared" si="1"/>
        <v>0.58333333333333337</v>
      </c>
      <c r="N29" s="4">
        <f t="shared" si="1"/>
        <v>25.409999999999997</v>
      </c>
      <c r="O29" s="5">
        <f t="shared" si="1"/>
        <v>368.81666666666661</v>
      </c>
      <c r="P29" s="147"/>
      <c r="Q29" s="9"/>
      <c r="R29" s="9"/>
    </row>
    <row r="30" spans="1:18" s="62" customFormat="1" ht="14.4" customHeight="1" x14ac:dyDescent="0.3">
      <c r="A30" s="94" t="s">
        <v>24</v>
      </c>
      <c r="B30" s="102"/>
      <c r="C30" s="102"/>
      <c r="D30" s="95">
        <v>1435</v>
      </c>
      <c r="E30" s="95">
        <f>E29+E19</f>
        <v>47.66</v>
      </c>
      <c r="F30" s="95">
        <f t="shared" ref="F30:O30" si="2">F29+F19</f>
        <v>48.653333333333336</v>
      </c>
      <c r="G30" s="95">
        <f t="shared" si="2"/>
        <v>207.87</v>
      </c>
      <c r="H30" s="95">
        <f t="shared" si="2"/>
        <v>1414.14</v>
      </c>
      <c r="I30" s="95">
        <f t="shared" si="2"/>
        <v>482.15047619047618</v>
      </c>
      <c r="J30" s="95">
        <f t="shared" si="2"/>
        <v>237.75809523809522</v>
      </c>
      <c r="K30" s="95">
        <f t="shared" si="2"/>
        <v>17.316825396825397</v>
      </c>
      <c r="L30" s="95">
        <f t="shared" si="2"/>
        <v>773.83904761904762</v>
      </c>
      <c r="M30" s="95">
        <f t="shared" si="2"/>
        <v>0.95333333333333337</v>
      </c>
      <c r="N30" s="95">
        <f t="shared" si="2"/>
        <v>26.656190476190474</v>
      </c>
      <c r="O30" s="120">
        <f t="shared" si="2"/>
        <v>429.69380952380948</v>
      </c>
      <c r="P30" s="147"/>
      <c r="Q30" s="61"/>
      <c r="R30" s="61"/>
    </row>
    <row r="31" spans="1:18" s="62" customFormat="1" ht="14.4" customHeight="1" x14ac:dyDescent="0.3">
      <c r="A31" s="172" t="s">
        <v>33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92"/>
      <c r="Q31" s="61"/>
      <c r="R31" s="61"/>
    </row>
    <row r="32" spans="1:18" s="62" customFormat="1" ht="14.4" customHeight="1" x14ac:dyDescent="0.3">
      <c r="A32" s="171" t="s">
        <v>88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3"/>
      <c r="P32" s="92"/>
      <c r="Q32" s="61"/>
      <c r="R32" s="61"/>
    </row>
    <row r="33" spans="1:18" ht="14.4" customHeight="1" x14ac:dyDescent="0.3">
      <c r="A33" s="97" t="s">
        <v>32</v>
      </c>
      <c r="B33" s="10">
        <v>2017</v>
      </c>
      <c r="C33" s="10" t="s">
        <v>85</v>
      </c>
      <c r="D33" s="11">
        <v>230</v>
      </c>
      <c r="E33" s="4">
        <f>12.45*230/200</f>
        <v>14.317500000000001</v>
      </c>
      <c r="F33" s="4">
        <v>10.97</v>
      </c>
      <c r="G33" s="4">
        <v>36.67</v>
      </c>
      <c r="H33" s="4">
        <v>293.5</v>
      </c>
      <c r="I33" s="4">
        <v>304.07150000000001</v>
      </c>
      <c r="J33" s="4">
        <v>44.481999999999999</v>
      </c>
      <c r="K33" s="4">
        <v>1.0465</v>
      </c>
      <c r="L33" s="4">
        <v>380.60399999999993</v>
      </c>
      <c r="M33" s="4">
        <v>6.8999999999999992E-2</v>
      </c>
      <c r="N33" s="4">
        <v>0.23</v>
      </c>
      <c r="O33" s="5">
        <v>128.44</v>
      </c>
      <c r="P33" s="145" t="s">
        <v>33</v>
      </c>
      <c r="Q33" s="9"/>
      <c r="R33" s="9"/>
    </row>
    <row r="34" spans="1:18" ht="14.4" customHeight="1" x14ac:dyDescent="0.3">
      <c r="A34" s="90" t="s">
        <v>13</v>
      </c>
      <c r="B34" s="11" t="s">
        <v>78</v>
      </c>
      <c r="C34" s="11" t="s">
        <v>78</v>
      </c>
      <c r="D34" s="12">
        <v>30</v>
      </c>
      <c r="E34" s="4">
        <v>2.37</v>
      </c>
      <c r="F34" s="4">
        <v>0.3</v>
      </c>
      <c r="G34" s="4">
        <v>14.49</v>
      </c>
      <c r="H34" s="4">
        <v>70.14</v>
      </c>
      <c r="I34" s="4">
        <v>6.9</v>
      </c>
      <c r="J34" s="4">
        <v>9.9</v>
      </c>
      <c r="K34" s="4">
        <v>0.33</v>
      </c>
      <c r="L34" s="4">
        <v>26.1</v>
      </c>
      <c r="M34" s="4">
        <v>0.05</v>
      </c>
      <c r="N34" s="4">
        <v>0</v>
      </c>
      <c r="O34" s="5">
        <v>0</v>
      </c>
      <c r="P34" s="142"/>
      <c r="Q34" s="9"/>
      <c r="R34" s="9"/>
    </row>
    <row r="35" spans="1:18" ht="14.4" customHeight="1" x14ac:dyDescent="0.3">
      <c r="A35" s="90" t="s">
        <v>27</v>
      </c>
      <c r="B35" s="11">
        <v>2017</v>
      </c>
      <c r="C35" s="11">
        <v>379</v>
      </c>
      <c r="D35" s="11">
        <v>200</v>
      </c>
      <c r="E35" s="4">
        <v>3.6</v>
      </c>
      <c r="F35" s="4">
        <v>2.67</v>
      </c>
      <c r="G35" s="4">
        <v>29.2</v>
      </c>
      <c r="H35" s="4">
        <v>155.19999999999999</v>
      </c>
      <c r="I35" s="4">
        <v>158.66999999999999</v>
      </c>
      <c r="J35" s="4">
        <v>16.8</v>
      </c>
      <c r="K35" s="4">
        <v>0.22</v>
      </c>
      <c r="L35" s="4">
        <v>82.4</v>
      </c>
      <c r="M35" s="4">
        <v>7.0000000000000007E-2</v>
      </c>
      <c r="N35" s="4">
        <v>1.17</v>
      </c>
      <c r="O35" s="5">
        <v>6.84</v>
      </c>
      <c r="P35" s="142"/>
      <c r="Q35" s="9"/>
      <c r="R35" s="9"/>
    </row>
    <row r="36" spans="1:18" ht="14.4" customHeight="1" x14ac:dyDescent="0.3">
      <c r="A36" s="90" t="s">
        <v>15</v>
      </c>
      <c r="B36" s="11">
        <v>2017</v>
      </c>
      <c r="C36" s="11">
        <v>338</v>
      </c>
      <c r="D36" s="12">
        <v>100</v>
      </c>
      <c r="E36" s="4">
        <v>0.8</v>
      </c>
      <c r="F36" s="4">
        <v>5.5</v>
      </c>
      <c r="G36" s="4">
        <v>4.3</v>
      </c>
      <c r="H36" s="4">
        <v>67.099999999999994</v>
      </c>
      <c r="I36" s="4">
        <v>17.3</v>
      </c>
      <c r="J36" s="4">
        <v>3.9</v>
      </c>
      <c r="K36" s="4">
        <v>0.2</v>
      </c>
      <c r="L36" s="4">
        <v>21.2</v>
      </c>
      <c r="M36" s="4">
        <v>0</v>
      </c>
      <c r="N36" s="4">
        <v>1.8</v>
      </c>
      <c r="O36" s="5">
        <v>0</v>
      </c>
      <c r="P36" s="142"/>
      <c r="Q36" s="9"/>
      <c r="R36" s="9"/>
    </row>
    <row r="37" spans="1:18" ht="14.4" customHeight="1" x14ac:dyDescent="0.3">
      <c r="A37" s="13" t="s">
        <v>16</v>
      </c>
      <c r="B37" s="10"/>
      <c r="C37" s="10"/>
      <c r="D37" s="11">
        <f>SUM(D33:D36)</f>
        <v>560</v>
      </c>
      <c r="E37" s="4">
        <f t="shared" ref="E37:O37" si="3">SUM(E33:E36)</f>
        <v>21.087500000000002</v>
      </c>
      <c r="F37" s="4">
        <f t="shared" si="3"/>
        <v>19.440000000000001</v>
      </c>
      <c r="G37" s="4">
        <f t="shared" si="3"/>
        <v>84.66</v>
      </c>
      <c r="H37" s="4">
        <f>SUM(H33:H36)</f>
        <v>585.93999999999994</v>
      </c>
      <c r="I37" s="4">
        <f t="shared" si="3"/>
        <v>486.94149999999996</v>
      </c>
      <c r="J37" s="4">
        <f t="shared" si="3"/>
        <v>75.082000000000008</v>
      </c>
      <c r="K37" s="4">
        <f t="shared" si="3"/>
        <v>1.7965</v>
      </c>
      <c r="L37" s="4">
        <f t="shared" si="3"/>
        <v>510.30399999999992</v>
      </c>
      <c r="M37" s="4">
        <f t="shared" si="3"/>
        <v>0.189</v>
      </c>
      <c r="N37" s="4">
        <f t="shared" si="3"/>
        <v>3.2</v>
      </c>
      <c r="O37" s="5">
        <f t="shared" si="3"/>
        <v>135.28</v>
      </c>
      <c r="P37" s="142"/>
      <c r="Q37" s="9"/>
      <c r="R37" s="9"/>
    </row>
    <row r="38" spans="1:18" ht="14.4" customHeight="1" x14ac:dyDescent="0.3">
      <c r="A38" s="171" t="s">
        <v>89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3"/>
      <c r="P38" s="142"/>
      <c r="Q38" s="9"/>
      <c r="R38" s="9"/>
    </row>
    <row r="39" spans="1:18" ht="14.4" customHeight="1" x14ac:dyDescent="0.3">
      <c r="A39" s="13" t="s">
        <v>30</v>
      </c>
      <c r="B39" s="24">
        <v>2017</v>
      </c>
      <c r="C39" s="10">
        <v>112</v>
      </c>
      <c r="D39" s="11">
        <v>250</v>
      </c>
      <c r="E39" s="4">
        <v>2.6625000000000001</v>
      </c>
      <c r="F39" s="4">
        <v>4.5875000000000004</v>
      </c>
      <c r="G39" s="4">
        <v>17.137499999999999</v>
      </c>
      <c r="H39" s="4">
        <v>116.23</v>
      </c>
      <c r="I39" s="4">
        <v>24.6</v>
      </c>
      <c r="J39" s="4">
        <v>27</v>
      </c>
      <c r="K39" s="4">
        <v>1.0874999999999999</v>
      </c>
      <c r="L39" s="4">
        <v>26.65</v>
      </c>
      <c r="M39" s="4">
        <v>0.1125</v>
      </c>
      <c r="N39" s="4">
        <v>8.25</v>
      </c>
      <c r="O39" s="5">
        <v>22.8</v>
      </c>
      <c r="P39" s="142"/>
      <c r="Q39" s="9"/>
      <c r="R39" s="9"/>
    </row>
    <row r="40" spans="1:18" ht="14.4" customHeight="1" x14ac:dyDescent="0.3">
      <c r="A40" s="13" t="s">
        <v>17</v>
      </c>
      <c r="B40" s="24">
        <v>2017</v>
      </c>
      <c r="C40" s="10">
        <v>288</v>
      </c>
      <c r="D40" s="24">
        <v>10</v>
      </c>
      <c r="E40" s="4">
        <v>2.11</v>
      </c>
      <c r="F40" s="4">
        <v>1.36</v>
      </c>
      <c r="G40" s="4">
        <v>0</v>
      </c>
      <c r="H40" s="4">
        <v>20.67</v>
      </c>
      <c r="I40" s="4">
        <v>3.9</v>
      </c>
      <c r="J40" s="4">
        <v>2</v>
      </c>
      <c r="K40" s="4">
        <v>0.18</v>
      </c>
      <c r="L40" s="4">
        <v>14.3</v>
      </c>
      <c r="M40" s="4">
        <v>0.04</v>
      </c>
      <c r="N40" s="4">
        <v>0</v>
      </c>
      <c r="O40" s="5">
        <v>2.2799999999999998</v>
      </c>
      <c r="P40" s="142"/>
      <c r="Q40" s="9"/>
      <c r="R40" s="9"/>
    </row>
    <row r="41" spans="1:18" ht="14.4" customHeight="1" x14ac:dyDescent="0.3">
      <c r="A41" s="13" t="s">
        <v>44</v>
      </c>
      <c r="B41" s="24">
        <v>2017</v>
      </c>
      <c r="C41" s="10" t="s">
        <v>87</v>
      </c>
      <c r="D41" s="11">
        <v>100</v>
      </c>
      <c r="E41" s="4">
        <f>11.99*100/90</f>
        <v>13.322222222222223</v>
      </c>
      <c r="F41" s="4">
        <v>12.06</v>
      </c>
      <c r="G41" s="4">
        <f>8.67*100/90</f>
        <v>9.6333333333333329</v>
      </c>
      <c r="H41" s="4">
        <v>209.9</v>
      </c>
      <c r="I41" s="4">
        <v>208.11111111111111</v>
      </c>
      <c r="J41" s="4">
        <v>23.444444444444443</v>
      </c>
      <c r="K41" s="4">
        <v>0.65555555555555556</v>
      </c>
      <c r="L41" s="4">
        <v>86.333333333333329</v>
      </c>
      <c r="M41" s="4">
        <v>6.6666666666666666E-2</v>
      </c>
      <c r="N41" s="4">
        <v>0.91111111111111109</v>
      </c>
      <c r="O41" s="5">
        <v>329.05555555555554</v>
      </c>
      <c r="P41" s="142"/>
      <c r="Q41" s="9"/>
      <c r="R41" s="9"/>
    </row>
    <row r="42" spans="1:18" ht="14.4" customHeight="1" x14ac:dyDescent="0.3">
      <c r="A42" s="90" t="s">
        <v>28</v>
      </c>
      <c r="B42" s="11">
        <v>2017</v>
      </c>
      <c r="C42" s="11">
        <v>304</v>
      </c>
      <c r="D42" s="11">
        <v>200</v>
      </c>
      <c r="E42" s="4">
        <f>3.67*200/150</f>
        <v>4.8933333333333335</v>
      </c>
      <c r="F42" s="4">
        <v>6.23</v>
      </c>
      <c r="G42" s="4">
        <v>44.89</v>
      </c>
      <c r="H42" s="4">
        <v>267.95999999999998</v>
      </c>
      <c r="I42" s="4">
        <v>26.36</v>
      </c>
      <c r="J42" s="4">
        <v>17.48</v>
      </c>
      <c r="K42" s="4">
        <v>0</v>
      </c>
      <c r="L42" s="4">
        <v>22</v>
      </c>
      <c r="M42" s="4">
        <v>0.06</v>
      </c>
      <c r="N42" s="4">
        <v>0</v>
      </c>
      <c r="O42" s="5">
        <v>0.2</v>
      </c>
      <c r="P42" s="142"/>
      <c r="Q42" s="9"/>
      <c r="R42" s="9"/>
    </row>
    <row r="43" spans="1:18" ht="14.4" customHeight="1" x14ac:dyDescent="0.3">
      <c r="A43" s="90" t="s">
        <v>59</v>
      </c>
      <c r="B43" s="11">
        <v>2017</v>
      </c>
      <c r="C43" s="11">
        <v>49</v>
      </c>
      <c r="D43" s="11">
        <v>100</v>
      </c>
      <c r="E43" s="4">
        <v>2.5979999999999999</v>
      </c>
      <c r="F43" s="4">
        <v>6.2200000000000006</v>
      </c>
      <c r="G43" s="4">
        <v>22.149000000000001</v>
      </c>
      <c r="H43" s="4">
        <v>154.9</v>
      </c>
      <c r="I43" s="4">
        <v>7.4809999999999999</v>
      </c>
      <c r="J43" s="4">
        <v>4.2789999999999999</v>
      </c>
      <c r="K43" s="4">
        <v>0.34799999999999998</v>
      </c>
      <c r="L43" s="4">
        <v>21.45</v>
      </c>
      <c r="M43" s="4">
        <v>0.27</v>
      </c>
      <c r="N43" s="4">
        <v>6.1166666666666663</v>
      </c>
      <c r="O43" s="5">
        <v>35.616666666666667</v>
      </c>
      <c r="P43" s="142"/>
      <c r="Q43" s="9"/>
      <c r="R43" s="9"/>
    </row>
    <row r="44" spans="1:18" ht="14.4" customHeight="1" x14ac:dyDescent="0.3">
      <c r="A44" s="13" t="s">
        <v>26</v>
      </c>
      <c r="B44" s="10">
        <v>2017</v>
      </c>
      <c r="C44" s="10">
        <v>377</v>
      </c>
      <c r="D44" s="11">
        <v>200</v>
      </c>
      <c r="E44" s="11">
        <v>0.13</v>
      </c>
      <c r="F44" s="11">
        <v>0.02</v>
      </c>
      <c r="G44" s="11">
        <v>10.25</v>
      </c>
      <c r="H44" s="11">
        <v>41.68</v>
      </c>
      <c r="I44" s="11">
        <v>14.05</v>
      </c>
      <c r="J44" s="11">
        <v>2.4</v>
      </c>
      <c r="K44" s="11">
        <v>0.38</v>
      </c>
      <c r="L44" s="11">
        <v>4.4000000000000004</v>
      </c>
      <c r="M44" s="11">
        <v>0</v>
      </c>
      <c r="N44" s="11">
        <v>2.83</v>
      </c>
      <c r="O44" s="14">
        <v>0</v>
      </c>
      <c r="P44" s="142"/>
      <c r="Q44" s="9"/>
      <c r="R44" s="9"/>
    </row>
    <row r="45" spans="1:18" ht="14.4" customHeight="1" x14ac:dyDescent="0.3">
      <c r="A45" s="13" t="s">
        <v>21</v>
      </c>
      <c r="B45" s="10" t="s">
        <v>78</v>
      </c>
      <c r="C45" s="10" t="s">
        <v>78</v>
      </c>
      <c r="D45" s="24">
        <v>20</v>
      </c>
      <c r="E45" s="4">
        <v>1.58</v>
      </c>
      <c r="F45" s="4">
        <v>0.2</v>
      </c>
      <c r="G45" s="4">
        <v>9.66</v>
      </c>
      <c r="H45" s="4">
        <v>46.76</v>
      </c>
      <c r="I45" s="4">
        <v>4.5999999999999996</v>
      </c>
      <c r="J45" s="4">
        <v>6.6</v>
      </c>
      <c r="K45" s="4">
        <v>0.22</v>
      </c>
      <c r="L45" s="4">
        <v>17.399999999999999</v>
      </c>
      <c r="M45" s="4">
        <v>0.08</v>
      </c>
      <c r="N45" s="4">
        <v>0</v>
      </c>
      <c r="O45" s="5">
        <v>0</v>
      </c>
      <c r="P45" s="142"/>
      <c r="Q45" s="9"/>
      <c r="R45" s="9"/>
    </row>
    <row r="46" spans="1:18" ht="14.4" customHeight="1" x14ac:dyDescent="0.3">
      <c r="A46" s="13" t="s">
        <v>22</v>
      </c>
      <c r="B46" s="10" t="s">
        <v>78</v>
      </c>
      <c r="C46" s="10" t="s">
        <v>78</v>
      </c>
      <c r="D46" s="10">
        <v>40</v>
      </c>
      <c r="E46" s="4">
        <v>2.2400000000000002</v>
      </c>
      <c r="F46" s="4">
        <v>0.44</v>
      </c>
      <c r="G46" s="4">
        <v>19.760000000000002</v>
      </c>
      <c r="H46" s="4">
        <v>91.96</v>
      </c>
      <c r="I46" s="4">
        <v>9.1999999999999993</v>
      </c>
      <c r="J46" s="4">
        <v>10</v>
      </c>
      <c r="K46" s="4">
        <v>1.24</v>
      </c>
      <c r="L46" s="4">
        <v>42.4</v>
      </c>
      <c r="M46" s="4">
        <v>0.04</v>
      </c>
      <c r="N46" s="4">
        <v>0</v>
      </c>
      <c r="O46" s="5">
        <v>0</v>
      </c>
      <c r="P46" s="142"/>
      <c r="Q46" s="9"/>
      <c r="R46" s="9"/>
    </row>
    <row r="47" spans="1:18" ht="12.6" customHeight="1" x14ac:dyDescent="0.3">
      <c r="A47" s="13" t="s">
        <v>16</v>
      </c>
      <c r="B47" s="10"/>
      <c r="C47" s="10"/>
      <c r="D47" s="11">
        <f t="shared" ref="D47:O47" si="4">SUM(D39:D46)</f>
        <v>920</v>
      </c>
      <c r="E47" s="4">
        <f>SUM(E39:E46)</f>
        <v>29.536055555555556</v>
      </c>
      <c r="F47" s="4">
        <f>SUM(F39:F46)</f>
        <v>31.117500000000003</v>
      </c>
      <c r="G47" s="4">
        <f>SUM(G39:G46)</f>
        <v>133.47983333333332</v>
      </c>
      <c r="H47" s="4">
        <f>SUM(H39:H46)</f>
        <v>950.06</v>
      </c>
      <c r="I47" s="4">
        <f t="shared" si="4"/>
        <v>298.30211111111112</v>
      </c>
      <c r="J47" s="4">
        <f t="shared" si="4"/>
        <v>93.203444444444443</v>
      </c>
      <c r="K47" s="4">
        <f t="shared" si="4"/>
        <v>4.1110555555555557</v>
      </c>
      <c r="L47" s="4">
        <f t="shared" si="4"/>
        <v>234.93333333333334</v>
      </c>
      <c r="M47" s="4">
        <f t="shared" si="4"/>
        <v>0.66916666666666669</v>
      </c>
      <c r="N47" s="4">
        <f t="shared" si="4"/>
        <v>18.107777777777777</v>
      </c>
      <c r="O47" s="5">
        <f t="shared" si="4"/>
        <v>389.95222222222219</v>
      </c>
      <c r="P47" s="142"/>
      <c r="Q47" s="9"/>
      <c r="R47" s="9"/>
    </row>
    <row r="48" spans="1:18" s="62" customFormat="1" ht="12.6" customHeight="1" x14ac:dyDescent="0.3">
      <c r="A48" s="94" t="s">
        <v>24</v>
      </c>
      <c r="B48" s="102"/>
      <c r="C48" s="102"/>
      <c r="D48" s="121">
        <f t="shared" ref="D48:O48" si="5">D47+D37</f>
        <v>1480</v>
      </c>
      <c r="E48" s="95">
        <f t="shared" si="5"/>
        <v>50.623555555555555</v>
      </c>
      <c r="F48" s="95">
        <f t="shared" si="5"/>
        <v>50.557500000000005</v>
      </c>
      <c r="G48" s="95">
        <f t="shared" si="5"/>
        <v>218.13983333333331</v>
      </c>
      <c r="H48" s="95">
        <f t="shared" si="5"/>
        <v>1536</v>
      </c>
      <c r="I48" s="95">
        <f t="shared" si="5"/>
        <v>785.24361111111102</v>
      </c>
      <c r="J48" s="95">
        <f t="shared" si="5"/>
        <v>168.28544444444447</v>
      </c>
      <c r="K48" s="95">
        <f t="shared" si="5"/>
        <v>5.9075555555555557</v>
      </c>
      <c r="L48" s="95">
        <f t="shared" si="5"/>
        <v>745.23733333333325</v>
      </c>
      <c r="M48" s="95">
        <f t="shared" si="5"/>
        <v>0.85816666666666674</v>
      </c>
      <c r="N48" s="95">
        <f t="shared" si="5"/>
        <v>21.307777777777776</v>
      </c>
      <c r="O48" s="120">
        <f t="shared" si="5"/>
        <v>525.23222222222216</v>
      </c>
      <c r="P48" s="143"/>
      <c r="Q48" s="61"/>
      <c r="R48" s="61"/>
    </row>
    <row r="49" spans="1:22" s="62" customFormat="1" ht="14.4" customHeight="1" x14ac:dyDescent="0.3">
      <c r="A49" s="167" t="s">
        <v>40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96"/>
      <c r="Q49" s="61"/>
      <c r="R49" s="61"/>
    </row>
    <row r="50" spans="1:22" s="62" customFormat="1" ht="12.6" customHeight="1" x14ac:dyDescent="0.3">
      <c r="A50" s="174" t="s">
        <v>88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96"/>
      <c r="Q50" s="61"/>
      <c r="R50" s="61"/>
    </row>
    <row r="51" spans="1:22" ht="27.6" x14ac:dyDescent="0.3">
      <c r="A51" s="13" t="s">
        <v>34</v>
      </c>
      <c r="B51" s="10">
        <v>2017</v>
      </c>
      <c r="C51" s="10">
        <v>175</v>
      </c>
      <c r="D51" s="11">
        <v>260</v>
      </c>
      <c r="E51" s="4">
        <v>12.925714285714285</v>
      </c>
      <c r="F51" s="4">
        <f>13.54*260/210</f>
        <v>16.76380952380952</v>
      </c>
      <c r="G51" s="4">
        <v>20.36</v>
      </c>
      <c r="H51" s="4">
        <v>273.75</v>
      </c>
      <c r="I51" s="4">
        <v>196.36190476190475</v>
      </c>
      <c r="J51" s="4">
        <v>33.057142857142857</v>
      </c>
      <c r="K51" s="4">
        <v>0.9285714285714286</v>
      </c>
      <c r="L51" s="4">
        <v>194.75238095238095</v>
      </c>
      <c r="M51" s="4">
        <v>0.14857142857142858</v>
      </c>
      <c r="N51" s="4">
        <v>1.4857142857142858</v>
      </c>
      <c r="O51" s="5">
        <v>114.3257142857143</v>
      </c>
      <c r="P51" s="142" t="s">
        <v>40</v>
      </c>
      <c r="Q51" s="9"/>
      <c r="R51" s="9"/>
    </row>
    <row r="52" spans="1:22" ht="12.6" customHeight="1" x14ac:dyDescent="0.3">
      <c r="A52" s="90" t="s">
        <v>13</v>
      </c>
      <c r="B52" s="10" t="s">
        <v>78</v>
      </c>
      <c r="C52" s="10" t="s">
        <v>78</v>
      </c>
      <c r="D52" s="4">
        <v>60</v>
      </c>
      <c r="E52" s="4">
        <v>4.74</v>
      </c>
      <c r="F52" s="4">
        <v>0.6</v>
      </c>
      <c r="G52" s="4">
        <v>28.98</v>
      </c>
      <c r="H52" s="4">
        <v>140.28</v>
      </c>
      <c r="I52" s="4">
        <v>13.8</v>
      </c>
      <c r="J52" s="4">
        <v>19.8</v>
      </c>
      <c r="K52" s="4">
        <v>0.66</v>
      </c>
      <c r="L52" s="4">
        <v>52.2</v>
      </c>
      <c r="M52" s="4">
        <v>0.1</v>
      </c>
      <c r="N52" s="4">
        <v>0</v>
      </c>
      <c r="O52" s="5">
        <v>0</v>
      </c>
      <c r="P52" s="142"/>
      <c r="Q52" s="9"/>
      <c r="R52" s="9"/>
    </row>
    <row r="53" spans="1:22" s="1" customFormat="1" ht="12.6" customHeight="1" x14ac:dyDescent="0.3">
      <c r="A53" s="35" t="s">
        <v>42</v>
      </c>
      <c r="B53" s="40" t="s">
        <v>78</v>
      </c>
      <c r="C53" s="40" t="s">
        <v>78</v>
      </c>
      <c r="D53" s="44">
        <v>30</v>
      </c>
      <c r="E53" s="44">
        <f>0.38*30/20</f>
        <v>0.57000000000000006</v>
      </c>
      <c r="F53" s="44">
        <v>1.62</v>
      </c>
      <c r="G53" s="44">
        <v>9.6199999999999992</v>
      </c>
      <c r="H53" s="44">
        <f>82.9*30/20</f>
        <v>124.35</v>
      </c>
      <c r="I53" s="44">
        <f>8.2*30/20</f>
        <v>12.299999999999999</v>
      </c>
      <c r="J53" s="44">
        <f>3*30/20</f>
        <v>4.5</v>
      </c>
      <c r="K53" s="44">
        <f>0.2*30/20</f>
        <v>0.3</v>
      </c>
      <c r="L53" s="44">
        <f>17.4*30/20</f>
        <v>26.1</v>
      </c>
      <c r="M53" s="44">
        <f>0.02*30/20</f>
        <v>0.03</v>
      </c>
      <c r="N53" s="44">
        <v>0</v>
      </c>
      <c r="O53" s="44">
        <f>19.5*1.14</f>
        <v>22.229999999999997</v>
      </c>
      <c r="P53" s="142"/>
      <c r="Q53" s="3"/>
      <c r="R53" s="3"/>
    </row>
    <row r="54" spans="1:22" ht="12.6" customHeight="1" x14ac:dyDescent="0.3">
      <c r="A54" s="90" t="s">
        <v>35</v>
      </c>
      <c r="B54" s="11">
        <v>2017</v>
      </c>
      <c r="C54" s="11">
        <v>8</v>
      </c>
      <c r="D54" s="11">
        <v>200</v>
      </c>
      <c r="E54" s="4">
        <v>0.67777777777777781</v>
      </c>
      <c r="F54" s="4">
        <v>0.27777777777777779</v>
      </c>
      <c r="G54" s="4">
        <v>17.977777777777778</v>
      </c>
      <c r="H54" s="4">
        <v>77.12222222222222</v>
      </c>
      <c r="I54" s="4">
        <v>21.333333333333332</v>
      </c>
      <c r="J54" s="4">
        <v>3.4444444444444446</v>
      </c>
      <c r="K54" s="4">
        <v>0.6333333333333333</v>
      </c>
      <c r="L54" s="4">
        <v>3.4444444444444446</v>
      </c>
      <c r="M54" s="4">
        <v>0.01</v>
      </c>
      <c r="N54" s="4">
        <v>19</v>
      </c>
      <c r="O54" s="5">
        <v>0</v>
      </c>
      <c r="P54" s="142"/>
      <c r="Q54" s="9"/>
      <c r="R54" s="9"/>
    </row>
    <row r="55" spans="1:22" ht="12.6" customHeight="1" x14ac:dyDescent="0.3">
      <c r="A55" s="13" t="s">
        <v>16</v>
      </c>
      <c r="B55" s="10"/>
      <c r="C55" s="10"/>
      <c r="D55" s="11">
        <v>550</v>
      </c>
      <c r="E55" s="4">
        <f>SUM(E51:E54)</f>
        <v>18.913492063492065</v>
      </c>
      <c r="F55" s="4">
        <f>SUM(F51:F54)</f>
        <v>19.261587301587301</v>
      </c>
      <c r="G55" s="4">
        <f>SUM(G51:G54)</f>
        <v>76.937777777777782</v>
      </c>
      <c r="H55" s="4">
        <f>SUM(H51:H54)</f>
        <v>615.50222222222226</v>
      </c>
      <c r="I55" s="4">
        <f>SUM(I51:I54)</f>
        <v>243.79523809523812</v>
      </c>
      <c r="J55" s="4">
        <v>60.801587301587304</v>
      </c>
      <c r="K55" s="4">
        <v>2.5219047619047616</v>
      </c>
      <c r="L55" s="4">
        <v>276.49682539682544</v>
      </c>
      <c r="M55" s="4">
        <v>0.28857142857142859</v>
      </c>
      <c r="N55" s="4">
        <v>20.485714285714288</v>
      </c>
      <c r="O55" s="5">
        <v>136.55571428571429</v>
      </c>
      <c r="P55" s="142"/>
      <c r="Q55" s="9"/>
      <c r="R55" s="9"/>
      <c r="V55" s="2"/>
    </row>
    <row r="56" spans="1:22" ht="12.6" customHeight="1" x14ac:dyDescent="0.3">
      <c r="A56" s="166" t="s">
        <v>89</v>
      </c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42"/>
      <c r="Q56" s="9"/>
      <c r="R56" s="9"/>
      <c r="V56" s="2"/>
    </row>
    <row r="57" spans="1:22" ht="12.6" customHeight="1" x14ac:dyDescent="0.3">
      <c r="A57" s="13" t="s">
        <v>36</v>
      </c>
      <c r="B57" s="10">
        <v>2017</v>
      </c>
      <c r="C57" s="10">
        <v>82</v>
      </c>
      <c r="D57" s="15">
        <v>250</v>
      </c>
      <c r="E57" s="15">
        <f>1.45*250/200</f>
        <v>1.8125</v>
      </c>
      <c r="F57" s="15">
        <f>3.93*250/200</f>
        <v>4.9124999999999996</v>
      </c>
      <c r="G57" s="15">
        <f>10.19*250/200</f>
        <v>12.737500000000001</v>
      </c>
      <c r="H57" s="15">
        <v>99.12</v>
      </c>
      <c r="I57" s="15">
        <v>44.38</v>
      </c>
      <c r="J57" s="15">
        <v>10.96</v>
      </c>
      <c r="K57" s="15">
        <v>0.54</v>
      </c>
      <c r="L57" s="15">
        <f>53.03*200/250</f>
        <v>42.423999999999999</v>
      </c>
      <c r="M57" s="15">
        <f>0.05*200/250</f>
        <v>0.04</v>
      </c>
      <c r="N57" s="15">
        <v>6.54</v>
      </c>
      <c r="O57" s="16">
        <v>0</v>
      </c>
      <c r="P57" s="142"/>
      <c r="Q57" s="9"/>
      <c r="R57" s="9"/>
    </row>
    <row r="58" spans="1:22" ht="12.6" customHeight="1" x14ac:dyDescent="0.3">
      <c r="A58" s="13" t="s">
        <v>17</v>
      </c>
      <c r="B58" s="10">
        <v>2017</v>
      </c>
      <c r="C58" s="10">
        <v>288</v>
      </c>
      <c r="D58" s="24">
        <v>10</v>
      </c>
      <c r="E58" s="4">
        <v>2.11</v>
      </c>
      <c r="F58" s="4">
        <v>1.36</v>
      </c>
      <c r="G58" s="4">
        <v>0</v>
      </c>
      <c r="H58" s="4">
        <v>20.67</v>
      </c>
      <c r="I58" s="4">
        <v>3.9</v>
      </c>
      <c r="J58" s="4">
        <v>2</v>
      </c>
      <c r="K58" s="4">
        <v>0.18</v>
      </c>
      <c r="L58" s="4">
        <v>14.3</v>
      </c>
      <c r="M58" s="4">
        <v>0.04</v>
      </c>
      <c r="N58" s="4">
        <v>0</v>
      </c>
      <c r="O58" s="5">
        <f>2*1.14</f>
        <v>2.2799999999999998</v>
      </c>
      <c r="P58" s="142"/>
      <c r="Q58" s="9"/>
      <c r="R58" s="9"/>
    </row>
    <row r="59" spans="1:22" ht="12.6" customHeight="1" x14ac:dyDescent="0.3">
      <c r="A59" s="90" t="s">
        <v>58</v>
      </c>
      <c r="B59" s="10">
        <v>2017</v>
      </c>
      <c r="C59" s="11">
        <v>291</v>
      </c>
      <c r="D59" s="11">
        <v>250</v>
      </c>
      <c r="E59" s="4">
        <v>19.05</v>
      </c>
      <c r="F59" s="4">
        <v>20.58</v>
      </c>
      <c r="G59" s="4">
        <f>42*250/200</f>
        <v>52.5</v>
      </c>
      <c r="H59" s="5">
        <v>489.94</v>
      </c>
      <c r="I59" s="6">
        <f>45.1*250/200</f>
        <v>56.375</v>
      </c>
      <c r="J59" s="6">
        <f>47.5*250/200</f>
        <v>59.375</v>
      </c>
      <c r="K59" s="6">
        <f>2.19*250/200</f>
        <v>2.7374999999999998</v>
      </c>
      <c r="L59" s="6">
        <v>179.13</v>
      </c>
      <c r="M59" s="6">
        <f>0.06*250/200</f>
        <v>7.4999999999999997E-2</v>
      </c>
      <c r="N59" s="6">
        <f>1.01*250/200</f>
        <v>1.2625</v>
      </c>
      <c r="O59" s="7">
        <f>248.03*250/200</f>
        <v>310.03750000000002</v>
      </c>
      <c r="P59" s="142"/>
      <c r="Q59" s="9"/>
      <c r="R59" s="9"/>
    </row>
    <row r="60" spans="1:22" ht="12.6" customHeight="1" x14ac:dyDescent="0.3">
      <c r="A60" s="90" t="s">
        <v>39</v>
      </c>
      <c r="B60" s="10">
        <v>2017</v>
      </c>
      <c r="C60" s="11">
        <v>59</v>
      </c>
      <c r="D60" s="18">
        <v>100</v>
      </c>
      <c r="E60" s="15">
        <f>1.08</f>
        <v>1.08</v>
      </c>
      <c r="F60" s="15">
        <f>0.18</f>
        <v>0.18</v>
      </c>
      <c r="G60" s="15">
        <f>8.62</f>
        <v>8.6199999999999992</v>
      </c>
      <c r="H60" s="15">
        <f>40.4</f>
        <v>40.4</v>
      </c>
      <c r="I60" s="15">
        <f>24.28</f>
        <v>24.28</v>
      </c>
      <c r="J60" s="15">
        <f>3.75</f>
        <v>3.75</v>
      </c>
      <c r="K60" s="15">
        <f>1.08</f>
        <v>1.08</v>
      </c>
      <c r="L60" s="15">
        <f>44</f>
        <v>44</v>
      </c>
      <c r="M60" s="15">
        <f>0.05</f>
        <v>0.05</v>
      </c>
      <c r="N60" s="15">
        <f>6.25</f>
        <v>6.25</v>
      </c>
      <c r="O60" s="16">
        <v>0</v>
      </c>
      <c r="P60" s="142"/>
      <c r="Q60" s="9"/>
      <c r="R60" s="9"/>
    </row>
    <row r="61" spans="1:22" ht="12.6" customHeight="1" x14ac:dyDescent="0.3">
      <c r="A61" s="90" t="s">
        <v>14</v>
      </c>
      <c r="B61" s="11">
        <v>2017</v>
      </c>
      <c r="C61" s="11">
        <v>376</v>
      </c>
      <c r="D61" s="12">
        <v>200</v>
      </c>
      <c r="E61" s="4">
        <v>0.2</v>
      </c>
      <c r="F61" s="4">
        <v>0</v>
      </c>
      <c r="G61" s="4">
        <v>14</v>
      </c>
      <c r="H61" s="4">
        <v>28</v>
      </c>
      <c r="I61" s="4">
        <v>6</v>
      </c>
      <c r="J61" s="4">
        <v>0</v>
      </c>
      <c r="K61" s="4">
        <v>0.4</v>
      </c>
      <c r="L61" s="4">
        <v>0</v>
      </c>
      <c r="M61" s="4">
        <v>0</v>
      </c>
      <c r="N61" s="4">
        <v>0</v>
      </c>
      <c r="O61" s="4">
        <v>0</v>
      </c>
      <c r="P61" s="142"/>
      <c r="Q61" s="9"/>
      <c r="R61" s="9"/>
    </row>
    <row r="62" spans="1:22" ht="12.6" customHeight="1" x14ac:dyDescent="0.3">
      <c r="A62" s="13" t="s">
        <v>21</v>
      </c>
      <c r="B62" s="10" t="s">
        <v>78</v>
      </c>
      <c r="C62" s="10" t="s">
        <v>78</v>
      </c>
      <c r="D62" s="24">
        <v>20</v>
      </c>
      <c r="E62" s="4">
        <v>1.58</v>
      </c>
      <c r="F62" s="4">
        <v>0.2</v>
      </c>
      <c r="G62" s="4">
        <v>9.66</v>
      </c>
      <c r="H62" s="4">
        <v>46.76</v>
      </c>
      <c r="I62" s="4">
        <v>4.5999999999999996</v>
      </c>
      <c r="J62" s="4">
        <v>6.6</v>
      </c>
      <c r="K62" s="4">
        <v>0.22</v>
      </c>
      <c r="L62" s="4">
        <v>17.399999999999999</v>
      </c>
      <c r="M62" s="4">
        <v>0.08</v>
      </c>
      <c r="N62" s="4">
        <v>0</v>
      </c>
      <c r="O62" s="5">
        <v>0</v>
      </c>
      <c r="P62" s="142"/>
      <c r="Q62" s="9"/>
      <c r="R62" s="9"/>
    </row>
    <row r="63" spans="1:22" ht="12.6" customHeight="1" x14ac:dyDescent="0.3">
      <c r="A63" s="13" t="s">
        <v>22</v>
      </c>
      <c r="B63" s="10" t="s">
        <v>78</v>
      </c>
      <c r="C63" s="10" t="s">
        <v>78</v>
      </c>
      <c r="D63" s="10">
        <v>40</v>
      </c>
      <c r="E63" s="4">
        <v>2.2400000000000002</v>
      </c>
      <c r="F63" s="4">
        <v>0.44</v>
      </c>
      <c r="G63" s="4">
        <v>19.760000000000002</v>
      </c>
      <c r="H63" s="4">
        <v>91.96</v>
      </c>
      <c r="I63" s="4">
        <v>9.1999999999999993</v>
      </c>
      <c r="J63" s="4">
        <v>10</v>
      </c>
      <c r="K63" s="4">
        <v>1.24</v>
      </c>
      <c r="L63" s="4">
        <v>42.4</v>
      </c>
      <c r="M63" s="4">
        <v>0.04</v>
      </c>
      <c r="N63" s="4">
        <v>0</v>
      </c>
      <c r="O63" s="5">
        <v>0</v>
      </c>
      <c r="P63" s="142"/>
      <c r="Q63" s="9"/>
      <c r="R63" s="9"/>
    </row>
    <row r="64" spans="1:22" ht="12.6" customHeight="1" x14ac:dyDescent="0.3">
      <c r="A64" s="13" t="s">
        <v>16</v>
      </c>
      <c r="B64" s="10"/>
      <c r="C64" s="10"/>
      <c r="D64" s="4">
        <f t="shared" ref="D64:O64" si="6">SUM(D57:D63)</f>
        <v>870</v>
      </c>
      <c r="E64" s="4">
        <f t="shared" si="6"/>
        <v>28.072500000000005</v>
      </c>
      <c r="F64" s="4">
        <f t="shared" si="6"/>
        <v>27.672499999999999</v>
      </c>
      <c r="G64" s="4">
        <f t="shared" si="6"/>
        <v>117.2775</v>
      </c>
      <c r="H64" s="4">
        <f t="shared" si="6"/>
        <v>816.85</v>
      </c>
      <c r="I64" s="4">
        <f t="shared" si="6"/>
        <v>148.73499999999999</v>
      </c>
      <c r="J64" s="4">
        <f t="shared" si="6"/>
        <v>92.685000000000002</v>
      </c>
      <c r="K64" s="4">
        <f>SUM(K57:K63)</f>
        <v>6.3975</v>
      </c>
      <c r="L64" s="4">
        <f>SUM(L57:L63)</f>
        <v>339.65399999999994</v>
      </c>
      <c r="M64" s="4">
        <f t="shared" si="6"/>
        <v>0.32500000000000001</v>
      </c>
      <c r="N64" s="4">
        <f t="shared" si="6"/>
        <v>14.0525</v>
      </c>
      <c r="O64" s="5">
        <f t="shared" si="6"/>
        <v>312.3175</v>
      </c>
      <c r="P64" s="142"/>
      <c r="Q64" s="9"/>
      <c r="R64" s="9"/>
    </row>
    <row r="65" spans="1:18" s="62" customFormat="1" ht="12.6" customHeight="1" x14ac:dyDescent="0.3">
      <c r="A65" s="94" t="s">
        <v>24</v>
      </c>
      <c r="B65" s="102"/>
      <c r="C65" s="102"/>
      <c r="D65" s="95">
        <f t="shared" ref="D65:O65" si="7">D64+D55</f>
        <v>1420</v>
      </c>
      <c r="E65" s="95">
        <f t="shared" si="7"/>
        <v>46.98599206349207</v>
      </c>
      <c r="F65" s="95">
        <f t="shared" si="7"/>
        <v>46.934087301587297</v>
      </c>
      <c r="G65" s="95">
        <f t="shared" si="7"/>
        <v>194.21527777777777</v>
      </c>
      <c r="H65" s="95">
        <f t="shared" si="7"/>
        <v>1432.3522222222223</v>
      </c>
      <c r="I65" s="95">
        <f t="shared" si="7"/>
        <v>392.53023809523813</v>
      </c>
      <c r="J65" s="95">
        <f t="shared" si="7"/>
        <v>153.48658730158729</v>
      </c>
      <c r="K65" s="95">
        <f t="shared" si="7"/>
        <v>8.9194047619047616</v>
      </c>
      <c r="L65" s="95">
        <f t="shared" si="7"/>
        <v>616.15082539682544</v>
      </c>
      <c r="M65" s="95">
        <f t="shared" si="7"/>
        <v>0.61357142857142866</v>
      </c>
      <c r="N65" s="95">
        <f t="shared" si="7"/>
        <v>34.53821428571429</v>
      </c>
      <c r="O65" s="120">
        <f t="shared" si="7"/>
        <v>448.87321428571431</v>
      </c>
      <c r="P65" s="143"/>
      <c r="Q65" s="61"/>
      <c r="R65" s="61"/>
    </row>
    <row r="66" spans="1:18" s="62" customFormat="1" ht="15" customHeight="1" x14ac:dyDescent="0.3">
      <c r="A66" s="159" t="s">
        <v>47</v>
      </c>
      <c r="B66" s="159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96"/>
      <c r="Q66" s="61"/>
      <c r="R66" s="61"/>
    </row>
    <row r="67" spans="1:18" s="62" customFormat="1" ht="12.6" customHeight="1" x14ac:dyDescent="0.3">
      <c r="A67" s="167" t="s">
        <v>88</v>
      </c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96"/>
      <c r="Q67" s="61"/>
      <c r="R67" s="61"/>
    </row>
    <row r="68" spans="1:18" s="1" customFormat="1" ht="19.2" customHeight="1" x14ac:dyDescent="0.3">
      <c r="A68" s="13" t="s">
        <v>48</v>
      </c>
      <c r="B68" s="24">
        <v>2017</v>
      </c>
      <c r="C68" s="24">
        <v>181</v>
      </c>
      <c r="D68" s="12">
        <v>260</v>
      </c>
      <c r="E68" s="4">
        <v>12.17</v>
      </c>
      <c r="F68" s="4">
        <v>6.71</v>
      </c>
      <c r="G68" s="4">
        <f>35.9*250/200</f>
        <v>44.875</v>
      </c>
      <c r="H68" s="4">
        <v>286.7</v>
      </c>
      <c r="I68" s="4">
        <v>250.30571428571426</v>
      </c>
      <c r="J68" s="4">
        <v>9.7809523809523817</v>
      </c>
      <c r="K68" s="4">
        <v>0.58190476190476181</v>
      </c>
      <c r="L68" s="4">
        <v>45.561904761904763</v>
      </c>
      <c r="M68" s="4">
        <v>4.9523809523809526E-2</v>
      </c>
      <c r="N68" s="4">
        <v>0</v>
      </c>
      <c r="O68" s="4">
        <v>65.459999999999994</v>
      </c>
      <c r="P68" s="145" t="s">
        <v>47</v>
      </c>
      <c r="Q68" s="3"/>
      <c r="R68" s="3"/>
    </row>
    <row r="69" spans="1:18" s="1" customFormat="1" x14ac:dyDescent="0.3">
      <c r="A69" s="27" t="s">
        <v>77</v>
      </c>
      <c r="B69" s="11">
        <v>2017</v>
      </c>
      <c r="C69" s="11">
        <v>3</v>
      </c>
      <c r="D69" s="28">
        <v>40</v>
      </c>
      <c r="E69" s="122">
        <v>4.9000000000000004</v>
      </c>
      <c r="F69" s="4">
        <v>11.55</v>
      </c>
      <c r="G69" s="4">
        <v>17.100000000000001</v>
      </c>
      <c r="H69" s="122">
        <v>193</v>
      </c>
      <c r="I69" s="4">
        <v>106</v>
      </c>
      <c r="J69" s="4">
        <v>4.8</v>
      </c>
      <c r="K69" s="4">
        <v>0.12</v>
      </c>
      <c r="L69" s="4">
        <v>0.09</v>
      </c>
      <c r="M69" s="4">
        <v>0.06</v>
      </c>
      <c r="N69" s="4">
        <v>0.11</v>
      </c>
      <c r="O69" s="5">
        <v>39</v>
      </c>
      <c r="P69" s="142"/>
      <c r="Q69" s="3"/>
      <c r="R69" s="3"/>
    </row>
    <row r="70" spans="1:18" s="1" customFormat="1" x14ac:dyDescent="0.3">
      <c r="A70" s="82" t="s">
        <v>26</v>
      </c>
      <c r="B70" s="10">
        <v>2017</v>
      </c>
      <c r="C70" s="10">
        <v>377</v>
      </c>
      <c r="D70" s="28">
        <v>200</v>
      </c>
      <c r="E70" s="11">
        <v>0.13</v>
      </c>
      <c r="F70" s="11">
        <v>0.02</v>
      </c>
      <c r="G70" s="11">
        <v>10.25</v>
      </c>
      <c r="H70" s="11">
        <v>41.68</v>
      </c>
      <c r="I70" s="11">
        <v>14.05</v>
      </c>
      <c r="J70" s="11">
        <v>2.4</v>
      </c>
      <c r="K70" s="11">
        <v>0.38</v>
      </c>
      <c r="L70" s="11">
        <v>4.4000000000000004</v>
      </c>
      <c r="M70" s="11">
        <v>0</v>
      </c>
      <c r="N70" s="11">
        <v>2.83</v>
      </c>
      <c r="O70" s="14">
        <v>0</v>
      </c>
      <c r="P70" s="142"/>
      <c r="Q70" s="3"/>
      <c r="R70" s="3"/>
    </row>
    <row r="71" spans="1:18" s="1" customFormat="1" x14ac:dyDescent="0.3">
      <c r="A71" s="27" t="s">
        <v>62</v>
      </c>
      <c r="B71" s="11">
        <v>2017</v>
      </c>
      <c r="C71" s="11">
        <v>338</v>
      </c>
      <c r="D71" s="28">
        <v>100</v>
      </c>
      <c r="E71" s="4">
        <v>0.9</v>
      </c>
      <c r="F71" s="4">
        <v>0.2</v>
      </c>
      <c r="G71" s="4">
        <v>8.1</v>
      </c>
      <c r="H71" s="4">
        <v>37.799999999999997</v>
      </c>
      <c r="I71" s="4">
        <v>34</v>
      </c>
      <c r="J71" s="4">
        <v>13</v>
      </c>
      <c r="K71" s="4">
        <v>0.3</v>
      </c>
      <c r="L71" s="4">
        <v>18.329999999999998</v>
      </c>
      <c r="M71" s="4">
        <v>0.04</v>
      </c>
      <c r="N71" s="4">
        <v>26</v>
      </c>
      <c r="O71" s="5">
        <v>0</v>
      </c>
      <c r="P71" s="142"/>
      <c r="Q71" s="3"/>
      <c r="R71" s="3"/>
    </row>
    <row r="72" spans="1:18" s="1" customFormat="1" x14ac:dyDescent="0.3">
      <c r="A72" s="123" t="s">
        <v>16</v>
      </c>
      <c r="B72" s="26"/>
      <c r="C72" s="26"/>
      <c r="D72" s="12">
        <v>600</v>
      </c>
      <c r="E72" s="4">
        <f>SUM(E68:E71)</f>
        <v>18.099999999999998</v>
      </c>
      <c r="F72" s="4">
        <f>SUM(F68:F71)</f>
        <v>18.48</v>
      </c>
      <c r="G72" s="4">
        <f>SUM(G68:G71)</f>
        <v>80.324999999999989</v>
      </c>
      <c r="H72" s="4">
        <f t="shared" ref="H72:N72" si="8">SUM(H68:H71)</f>
        <v>559.17999999999995</v>
      </c>
      <c r="I72" s="4">
        <f t="shared" si="8"/>
        <v>404.35571428571427</v>
      </c>
      <c r="J72" s="4">
        <f t="shared" si="8"/>
        <v>29.980952380952381</v>
      </c>
      <c r="K72" s="4">
        <f t="shared" si="8"/>
        <v>1.3819047619047617</v>
      </c>
      <c r="L72" s="4">
        <f t="shared" si="8"/>
        <v>68.381904761904764</v>
      </c>
      <c r="M72" s="4">
        <f t="shared" si="8"/>
        <v>0.14952380952380953</v>
      </c>
      <c r="N72" s="4">
        <f t="shared" si="8"/>
        <v>28.94</v>
      </c>
      <c r="O72" s="5">
        <f>SUM(O68:O71)</f>
        <v>104.46</v>
      </c>
      <c r="P72" s="142"/>
      <c r="Q72" s="3"/>
      <c r="R72" s="3"/>
    </row>
    <row r="73" spans="1:18" s="1" customFormat="1" x14ac:dyDescent="0.3">
      <c r="A73" s="166" t="s">
        <v>89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42"/>
      <c r="Q73" s="3"/>
      <c r="R73" s="3"/>
    </row>
    <row r="74" spans="1:18" s="1" customFormat="1" x14ac:dyDescent="0.3">
      <c r="A74" s="90" t="s">
        <v>50</v>
      </c>
      <c r="B74" s="11">
        <v>2017</v>
      </c>
      <c r="C74" s="11">
        <v>99</v>
      </c>
      <c r="D74" s="11">
        <v>250</v>
      </c>
      <c r="E74" s="4">
        <v>2.1</v>
      </c>
      <c r="F74" s="4">
        <v>7.4749999999999996</v>
      </c>
      <c r="G74" s="4">
        <v>11.6875</v>
      </c>
      <c r="H74" s="4">
        <v>122.96250000000001</v>
      </c>
      <c r="I74" s="4">
        <v>32.137500000000003</v>
      </c>
      <c r="J74" s="4">
        <v>28.774999999999999</v>
      </c>
      <c r="K74" s="4">
        <v>8.7499999999999994E-2</v>
      </c>
      <c r="L74" s="4">
        <v>86.837500000000006</v>
      </c>
      <c r="M74" s="4">
        <v>0.13750000000000001</v>
      </c>
      <c r="N74" s="4">
        <v>8.5</v>
      </c>
      <c r="O74" s="5">
        <v>0</v>
      </c>
      <c r="P74" s="142"/>
      <c r="Q74" s="3"/>
      <c r="R74" s="3"/>
    </row>
    <row r="75" spans="1:18" s="1" customFormat="1" x14ac:dyDescent="0.3">
      <c r="A75" s="13" t="s">
        <v>17</v>
      </c>
      <c r="B75" s="10">
        <v>2017</v>
      </c>
      <c r="C75" s="10">
        <v>288</v>
      </c>
      <c r="D75" s="24">
        <v>10</v>
      </c>
      <c r="E75" s="4">
        <v>2.11</v>
      </c>
      <c r="F75" s="4">
        <v>1.36</v>
      </c>
      <c r="G75" s="4">
        <v>0</v>
      </c>
      <c r="H75" s="4">
        <v>20.67</v>
      </c>
      <c r="I75" s="4">
        <v>3.9</v>
      </c>
      <c r="J75" s="4">
        <v>2</v>
      </c>
      <c r="K75" s="4">
        <v>0.18</v>
      </c>
      <c r="L75" s="4">
        <v>14.3</v>
      </c>
      <c r="M75" s="4">
        <v>0.04</v>
      </c>
      <c r="N75" s="4">
        <v>0</v>
      </c>
      <c r="O75" s="5">
        <v>2.2799999999999998</v>
      </c>
      <c r="P75" s="142"/>
      <c r="Q75" s="3"/>
      <c r="R75" s="3"/>
    </row>
    <row r="76" spans="1:18" s="1" customFormat="1" x14ac:dyDescent="0.3">
      <c r="A76" s="97" t="s">
        <v>31</v>
      </c>
      <c r="B76" s="10">
        <v>2017</v>
      </c>
      <c r="C76" s="10" t="s">
        <v>86</v>
      </c>
      <c r="D76" s="11">
        <v>100</v>
      </c>
      <c r="E76" s="4">
        <v>13.58</v>
      </c>
      <c r="F76" s="4">
        <v>10.58</v>
      </c>
      <c r="G76" s="4">
        <f>11.66*100/90</f>
        <v>12.955555555555556</v>
      </c>
      <c r="H76" s="4">
        <v>198.12</v>
      </c>
      <c r="I76" s="4">
        <v>182.08888888888799</v>
      </c>
      <c r="J76" s="4">
        <v>20.855555555555554</v>
      </c>
      <c r="K76" s="4">
        <v>1.2</v>
      </c>
      <c r="L76" s="4">
        <v>47.988888888888887</v>
      </c>
      <c r="M76" s="4">
        <v>0.1111111111111111</v>
      </c>
      <c r="N76" s="4">
        <v>0.1111111111111111</v>
      </c>
      <c r="O76" s="5">
        <v>268.5</v>
      </c>
      <c r="P76" s="142"/>
      <c r="Q76" s="3"/>
      <c r="R76" s="3"/>
    </row>
    <row r="77" spans="1:18" s="1" customFormat="1" x14ac:dyDescent="0.3">
      <c r="A77" s="13" t="s">
        <v>74</v>
      </c>
      <c r="B77" s="10">
        <v>2017</v>
      </c>
      <c r="C77" s="10">
        <v>125</v>
      </c>
      <c r="D77" s="11">
        <v>200</v>
      </c>
      <c r="E77" s="4">
        <v>3.8133333333333335</v>
      </c>
      <c r="F77" s="4">
        <v>5.76</v>
      </c>
      <c r="G77" s="4">
        <v>30.68</v>
      </c>
      <c r="H77" s="4">
        <v>189.8</v>
      </c>
      <c r="I77" s="4">
        <v>19.52</v>
      </c>
      <c r="J77" s="4">
        <v>25.77333333333333</v>
      </c>
      <c r="K77" s="4">
        <v>1.5466666666666664</v>
      </c>
      <c r="L77" s="4">
        <v>146.63</v>
      </c>
      <c r="M77" s="4">
        <v>0.02</v>
      </c>
      <c r="N77" s="4">
        <v>28</v>
      </c>
      <c r="O77" s="5">
        <v>28</v>
      </c>
      <c r="P77" s="142"/>
      <c r="Q77" s="3"/>
      <c r="R77" s="3"/>
    </row>
    <row r="78" spans="1:18" s="1" customFormat="1" x14ac:dyDescent="0.3">
      <c r="A78" s="90" t="s">
        <v>52</v>
      </c>
      <c r="B78" s="11">
        <v>2017</v>
      </c>
      <c r="C78" s="11">
        <v>52</v>
      </c>
      <c r="D78" s="11">
        <v>100</v>
      </c>
      <c r="E78" s="4">
        <v>1.4333333333333333</v>
      </c>
      <c r="F78" s="4">
        <v>6.083333333333333</v>
      </c>
      <c r="G78" s="4">
        <v>8.3666666666666654</v>
      </c>
      <c r="H78" s="4">
        <v>93.9</v>
      </c>
      <c r="I78" s="4">
        <v>35.15</v>
      </c>
      <c r="J78" s="4">
        <v>20.9</v>
      </c>
      <c r="K78" s="4">
        <v>1.3333333333333333</v>
      </c>
      <c r="L78" s="83">
        <v>40.966666666666669</v>
      </c>
      <c r="M78" s="4">
        <v>1.6666666666666666E-2</v>
      </c>
      <c r="N78" s="4">
        <v>3.42</v>
      </c>
      <c r="O78" s="14">
        <v>0</v>
      </c>
      <c r="P78" s="142"/>
      <c r="Q78" s="3"/>
      <c r="R78" s="3"/>
    </row>
    <row r="79" spans="1:18" s="1" customFormat="1" x14ac:dyDescent="0.3">
      <c r="A79" s="90" t="s">
        <v>53</v>
      </c>
      <c r="B79" s="11">
        <v>2017</v>
      </c>
      <c r="C79" s="11">
        <v>342</v>
      </c>
      <c r="D79" s="11">
        <v>200</v>
      </c>
      <c r="E79" s="4">
        <v>0.2</v>
      </c>
      <c r="F79" s="4">
        <v>0.2</v>
      </c>
      <c r="G79" s="4">
        <v>22.3</v>
      </c>
      <c r="H79" s="4">
        <v>110</v>
      </c>
      <c r="I79" s="4">
        <v>12</v>
      </c>
      <c r="J79" s="4">
        <v>0</v>
      </c>
      <c r="K79" s="4">
        <v>0.8</v>
      </c>
      <c r="L79" s="4">
        <v>2.4</v>
      </c>
      <c r="M79" s="4">
        <v>0.02</v>
      </c>
      <c r="N79" s="4">
        <v>0</v>
      </c>
      <c r="O79" s="5">
        <v>0</v>
      </c>
      <c r="P79" s="142"/>
      <c r="Q79" s="3"/>
      <c r="R79" s="3"/>
    </row>
    <row r="80" spans="1:18" s="1" customFormat="1" x14ac:dyDescent="0.3">
      <c r="A80" s="13" t="s">
        <v>21</v>
      </c>
      <c r="B80" s="10" t="s">
        <v>78</v>
      </c>
      <c r="C80" s="10" t="s">
        <v>78</v>
      </c>
      <c r="D80" s="24">
        <v>20</v>
      </c>
      <c r="E80" s="4">
        <v>1.58</v>
      </c>
      <c r="F80" s="4">
        <v>0.2</v>
      </c>
      <c r="G80" s="4">
        <v>9.66</v>
      </c>
      <c r="H80" s="4">
        <v>46.76</v>
      </c>
      <c r="I80" s="4">
        <v>4.5999999999999996</v>
      </c>
      <c r="J80" s="4">
        <v>6.6</v>
      </c>
      <c r="K80" s="4">
        <v>0.22</v>
      </c>
      <c r="L80" s="4">
        <v>17.399999999999999</v>
      </c>
      <c r="M80" s="4">
        <v>0.08</v>
      </c>
      <c r="N80" s="4">
        <v>0</v>
      </c>
      <c r="O80" s="5">
        <v>0</v>
      </c>
      <c r="P80" s="142"/>
      <c r="Q80" s="3"/>
      <c r="R80" s="3"/>
    </row>
    <row r="81" spans="1:18" s="1" customFormat="1" x14ac:dyDescent="0.3">
      <c r="A81" s="13" t="s">
        <v>22</v>
      </c>
      <c r="B81" s="10" t="s">
        <v>78</v>
      </c>
      <c r="C81" s="10" t="s">
        <v>78</v>
      </c>
      <c r="D81" s="10">
        <v>40</v>
      </c>
      <c r="E81" s="4">
        <v>2.2400000000000002</v>
      </c>
      <c r="F81" s="4">
        <v>0.44</v>
      </c>
      <c r="G81" s="4">
        <v>19.760000000000002</v>
      </c>
      <c r="H81" s="4">
        <v>91.96</v>
      </c>
      <c r="I81" s="4">
        <v>9.1999999999999993</v>
      </c>
      <c r="J81" s="4">
        <v>10</v>
      </c>
      <c r="K81" s="4">
        <v>1.24</v>
      </c>
      <c r="L81" s="4">
        <v>42.4</v>
      </c>
      <c r="M81" s="4">
        <v>0.04</v>
      </c>
      <c r="N81" s="4">
        <v>0</v>
      </c>
      <c r="O81" s="5">
        <v>0</v>
      </c>
      <c r="P81" s="142"/>
      <c r="Q81" s="3"/>
      <c r="R81" s="3"/>
    </row>
    <row r="82" spans="1:18" s="1" customFormat="1" x14ac:dyDescent="0.3">
      <c r="A82" s="123" t="s">
        <v>16</v>
      </c>
      <c r="B82" s="26"/>
      <c r="C82" s="26"/>
      <c r="D82" s="11">
        <v>920</v>
      </c>
      <c r="E82" s="4">
        <f t="shared" ref="E82:K82" si="9">SUM(E74:E81)</f>
        <v>27.056666666666665</v>
      </c>
      <c r="F82" s="4">
        <f t="shared" si="9"/>
        <v>32.098333333333329</v>
      </c>
      <c r="G82" s="4">
        <f t="shared" si="9"/>
        <v>115.40972222222223</v>
      </c>
      <c r="H82" s="4">
        <f t="shared" si="9"/>
        <v>874.17250000000001</v>
      </c>
      <c r="I82" s="4">
        <f t="shared" si="9"/>
        <v>298.59638888888799</v>
      </c>
      <c r="J82" s="4">
        <f t="shared" si="9"/>
        <v>114.90388888888887</v>
      </c>
      <c r="K82" s="4">
        <f t="shared" si="9"/>
        <v>6.607499999999999</v>
      </c>
      <c r="L82" s="4">
        <v>398.92305555555549</v>
      </c>
      <c r="M82" s="4">
        <f>SUM(M74:M81)</f>
        <v>0.46527777777777785</v>
      </c>
      <c r="N82" s="4">
        <v>40.031111111111116</v>
      </c>
      <c r="O82" s="5">
        <v>298.77999999999997</v>
      </c>
      <c r="P82" s="142"/>
      <c r="Q82" s="3"/>
      <c r="R82" s="3"/>
    </row>
    <row r="83" spans="1:18" s="66" customFormat="1" x14ac:dyDescent="0.3">
      <c r="A83" s="94" t="s">
        <v>24</v>
      </c>
      <c r="B83" s="102"/>
      <c r="C83" s="102"/>
      <c r="D83" s="121">
        <f t="shared" ref="D83:I83" si="10">D82+D72</f>
        <v>1520</v>
      </c>
      <c r="E83" s="95">
        <f t="shared" si="10"/>
        <v>45.156666666666666</v>
      </c>
      <c r="F83" s="95">
        <f t="shared" si="10"/>
        <v>50.578333333333333</v>
      </c>
      <c r="G83" s="95">
        <f t="shared" si="10"/>
        <v>195.73472222222222</v>
      </c>
      <c r="H83" s="95">
        <f t="shared" si="10"/>
        <v>1433.3525</v>
      </c>
      <c r="I83" s="95">
        <f t="shared" si="10"/>
        <v>702.95210317460226</v>
      </c>
      <c r="J83" s="95">
        <f t="shared" ref="J83:O83" si="11">J82+J72</f>
        <v>144.88484126984125</v>
      </c>
      <c r="K83" s="95">
        <f t="shared" si="11"/>
        <v>7.989404761904761</v>
      </c>
      <c r="L83" s="95">
        <f t="shared" si="11"/>
        <v>467.30496031746026</v>
      </c>
      <c r="M83" s="95">
        <f t="shared" si="11"/>
        <v>0.6148015873015874</v>
      </c>
      <c r="N83" s="95">
        <f t="shared" si="11"/>
        <v>68.971111111111114</v>
      </c>
      <c r="O83" s="120">
        <f t="shared" si="11"/>
        <v>403.23999999999995</v>
      </c>
      <c r="P83" s="143"/>
      <c r="Q83" s="96"/>
      <c r="R83" s="96"/>
    </row>
    <row r="84" spans="1:18" s="62" customFormat="1" x14ac:dyDescent="0.3">
      <c r="A84" s="167" t="s">
        <v>54</v>
      </c>
      <c r="B84" s="168"/>
      <c r="C84" s="168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96"/>
      <c r="Q84" s="61"/>
      <c r="R84" s="61"/>
    </row>
    <row r="85" spans="1:18" s="62" customFormat="1" ht="12.6" customHeight="1" x14ac:dyDescent="0.3">
      <c r="A85" s="169" t="s">
        <v>88</v>
      </c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96"/>
      <c r="Q85" s="61"/>
      <c r="R85" s="61"/>
    </row>
    <row r="86" spans="1:18" ht="26.4" customHeight="1" x14ac:dyDescent="0.3">
      <c r="A86" s="13" t="s">
        <v>41</v>
      </c>
      <c r="B86" s="10">
        <v>2017</v>
      </c>
      <c r="C86" s="11">
        <v>183</v>
      </c>
      <c r="D86" s="11">
        <v>260</v>
      </c>
      <c r="E86" s="4">
        <v>9.83</v>
      </c>
      <c r="F86" s="4">
        <f>11.58*250/200</f>
        <v>14.475</v>
      </c>
      <c r="G86" s="4">
        <f>7.86*250/200</f>
        <v>9.8249999999999993</v>
      </c>
      <c r="H86" s="4">
        <v>206.44</v>
      </c>
      <c r="I86" s="4">
        <v>239.81904761904761</v>
      </c>
      <c r="J86" s="4">
        <v>53.361904761904761</v>
      </c>
      <c r="K86" s="4">
        <v>1.6342857142857143</v>
      </c>
      <c r="L86" s="4">
        <v>182.86666666666667</v>
      </c>
      <c r="M86" s="4">
        <v>0.18571428571428572</v>
      </c>
      <c r="N86" s="4">
        <v>0</v>
      </c>
      <c r="O86" s="4">
        <v>28.228571428571428</v>
      </c>
      <c r="P86" s="142" t="s">
        <v>54</v>
      </c>
      <c r="Q86" s="9"/>
      <c r="R86" s="9"/>
    </row>
    <row r="87" spans="1:18" x14ac:dyDescent="0.3">
      <c r="A87" s="90" t="s">
        <v>13</v>
      </c>
      <c r="B87" s="24" t="s">
        <v>78</v>
      </c>
      <c r="C87" s="24" t="s">
        <v>78</v>
      </c>
      <c r="D87" s="12">
        <v>60</v>
      </c>
      <c r="E87" s="4">
        <v>4.74</v>
      </c>
      <c r="F87" s="4">
        <v>0.6</v>
      </c>
      <c r="G87" s="4">
        <v>28.98</v>
      </c>
      <c r="H87" s="4">
        <v>140.28</v>
      </c>
      <c r="I87" s="4">
        <v>13.8</v>
      </c>
      <c r="J87" s="4">
        <v>19.8</v>
      </c>
      <c r="K87" s="4">
        <v>0.66</v>
      </c>
      <c r="L87" s="4">
        <v>52.2</v>
      </c>
      <c r="M87" s="4">
        <v>0.1</v>
      </c>
      <c r="N87" s="4">
        <v>0</v>
      </c>
      <c r="O87" s="5">
        <v>0</v>
      </c>
      <c r="P87" s="142"/>
      <c r="Q87" s="9"/>
      <c r="R87" s="9"/>
    </row>
    <row r="88" spans="1:18" x14ac:dyDescent="0.3">
      <c r="A88" s="29" t="s">
        <v>49</v>
      </c>
      <c r="B88" s="12">
        <v>2017</v>
      </c>
      <c r="C88" s="122">
        <v>382</v>
      </c>
      <c r="D88" s="12">
        <v>200</v>
      </c>
      <c r="E88" s="4">
        <v>3.52</v>
      </c>
      <c r="F88" s="4">
        <v>3.72</v>
      </c>
      <c r="G88" s="4">
        <v>25.49</v>
      </c>
      <c r="H88" s="4">
        <v>145.19999999999999</v>
      </c>
      <c r="I88" s="4">
        <v>122</v>
      </c>
      <c r="J88" s="4">
        <v>14</v>
      </c>
      <c r="K88" s="4">
        <v>0.56000000000000005</v>
      </c>
      <c r="L88" s="4">
        <v>39</v>
      </c>
      <c r="M88" s="4">
        <v>0.04</v>
      </c>
      <c r="N88" s="4">
        <v>1.3</v>
      </c>
      <c r="O88" s="5">
        <v>1.1399999999999999E-2</v>
      </c>
      <c r="P88" s="142"/>
      <c r="Q88" s="9"/>
      <c r="R88" s="9"/>
    </row>
    <row r="89" spans="1:18" x14ac:dyDescent="0.3">
      <c r="A89" s="23" t="s">
        <v>29</v>
      </c>
      <c r="B89" s="24" t="s">
        <v>78</v>
      </c>
      <c r="C89" s="24" t="s">
        <v>78</v>
      </c>
      <c r="D89" s="24">
        <v>30</v>
      </c>
      <c r="E89" s="11">
        <v>0.15</v>
      </c>
      <c r="F89" s="11">
        <v>0</v>
      </c>
      <c r="G89" s="11">
        <v>21.48</v>
      </c>
      <c r="H89" s="11">
        <v>86.52000000000001</v>
      </c>
      <c r="I89" s="11">
        <v>3.6</v>
      </c>
      <c r="J89" s="11">
        <v>2.7</v>
      </c>
      <c r="K89" s="11">
        <v>0.12</v>
      </c>
      <c r="L89" s="11">
        <v>5.4</v>
      </c>
      <c r="M89" s="11">
        <v>0</v>
      </c>
      <c r="N89" s="11">
        <v>0.72</v>
      </c>
      <c r="O89" s="14">
        <v>0</v>
      </c>
      <c r="P89" s="142"/>
      <c r="Q89" s="9"/>
      <c r="R89" s="9"/>
    </row>
    <row r="90" spans="1:18" x14ac:dyDescent="0.3">
      <c r="A90" s="13" t="s">
        <v>16</v>
      </c>
      <c r="B90" s="10"/>
      <c r="C90" s="10"/>
      <c r="D90" s="12">
        <f t="shared" ref="D90:O90" si="12">SUM(D86:D89)</f>
        <v>550</v>
      </c>
      <c r="E90" s="4">
        <f>SUM(E86:E89)</f>
        <v>18.239999999999998</v>
      </c>
      <c r="F90" s="4">
        <f>SUM(F86:F89)</f>
        <v>18.794999999999998</v>
      </c>
      <c r="G90" s="4">
        <f>SUM(G86:G89)</f>
        <v>85.775000000000006</v>
      </c>
      <c r="H90" s="4">
        <f>SUM(H86:H89)</f>
        <v>578.44000000000005</v>
      </c>
      <c r="I90" s="4">
        <f t="shared" si="12"/>
        <v>379.21904761904761</v>
      </c>
      <c r="J90" s="4">
        <f t="shared" si="12"/>
        <v>89.861904761904768</v>
      </c>
      <c r="K90" s="4">
        <f t="shared" si="12"/>
        <v>2.9742857142857146</v>
      </c>
      <c r="L90" s="4">
        <f t="shared" si="12"/>
        <v>279.46666666666664</v>
      </c>
      <c r="M90" s="4">
        <f t="shared" si="12"/>
        <v>0.32571428571428568</v>
      </c>
      <c r="N90" s="4">
        <f t="shared" si="12"/>
        <v>2.02</v>
      </c>
      <c r="O90" s="5">
        <f t="shared" si="12"/>
        <v>28.239971428571426</v>
      </c>
      <c r="P90" s="142"/>
      <c r="Q90" s="9"/>
      <c r="R90" s="9"/>
    </row>
    <row r="91" spans="1:18" ht="21.6" customHeight="1" x14ac:dyDescent="0.3">
      <c r="A91" s="171" t="s">
        <v>89</v>
      </c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3"/>
      <c r="P91" s="142"/>
      <c r="Q91" s="9"/>
      <c r="R91" s="9"/>
    </row>
    <row r="92" spans="1:18" x14ac:dyDescent="0.3">
      <c r="A92" s="13" t="s">
        <v>43</v>
      </c>
      <c r="B92" s="10">
        <v>2017</v>
      </c>
      <c r="C92" s="124">
        <v>96</v>
      </c>
      <c r="D92" s="11">
        <v>260</v>
      </c>
      <c r="E92" s="4">
        <f>2.48*250/200</f>
        <v>3.1</v>
      </c>
      <c r="F92" s="4">
        <v>8.2799999999999994</v>
      </c>
      <c r="G92" s="4">
        <f>24.08*250/200</f>
        <v>30.1</v>
      </c>
      <c r="H92" s="4">
        <v>199.79</v>
      </c>
      <c r="I92" s="4">
        <v>26.198095238095238</v>
      </c>
      <c r="J92" s="4">
        <v>25.653333333333332</v>
      </c>
      <c r="K92" s="4">
        <v>0.96571428571428575</v>
      </c>
      <c r="L92" s="4">
        <v>71.264761904761912</v>
      </c>
      <c r="M92" s="4">
        <v>9.9047619047619051E-2</v>
      </c>
      <c r="N92" s="4">
        <v>7.4657142857142853</v>
      </c>
      <c r="O92" s="5">
        <v>0</v>
      </c>
      <c r="P92" s="142"/>
      <c r="Q92" s="9"/>
      <c r="R92" s="9"/>
    </row>
    <row r="93" spans="1:18" x14ac:dyDescent="0.3">
      <c r="A93" s="13" t="s">
        <v>17</v>
      </c>
      <c r="B93" s="10">
        <v>2017</v>
      </c>
      <c r="C93" s="10">
        <v>288</v>
      </c>
      <c r="D93" s="24">
        <v>10</v>
      </c>
      <c r="E93" s="4">
        <v>2.11</v>
      </c>
      <c r="F93" s="4">
        <v>1.36</v>
      </c>
      <c r="G93" s="4">
        <v>0</v>
      </c>
      <c r="H93" s="4">
        <v>20.67</v>
      </c>
      <c r="I93" s="4">
        <v>3.9</v>
      </c>
      <c r="J93" s="4">
        <v>2</v>
      </c>
      <c r="K93" s="4">
        <v>0.18</v>
      </c>
      <c r="L93" s="4">
        <v>14.3</v>
      </c>
      <c r="M93" s="4">
        <v>0.04</v>
      </c>
      <c r="N93" s="4">
        <v>0</v>
      </c>
      <c r="O93" s="5">
        <v>2.2799999999999998</v>
      </c>
      <c r="P93" s="142"/>
      <c r="Q93" s="9"/>
      <c r="R93" s="9"/>
    </row>
    <row r="94" spans="1:18" x14ac:dyDescent="0.3">
      <c r="A94" s="13" t="s">
        <v>44</v>
      </c>
      <c r="B94" s="24">
        <v>2017</v>
      </c>
      <c r="C94" s="10" t="s">
        <v>87</v>
      </c>
      <c r="D94" s="11">
        <v>100</v>
      </c>
      <c r="E94" s="4">
        <f>11.99*100/90</f>
        <v>13.322222222222223</v>
      </c>
      <c r="F94" s="4">
        <v>12.06</v>
      </c>
      <c r="G94" s="4">
        <f>8.67*100/90</f>
        <v>9.6333333333333329</v>
      </c>
      <c r="H94" s="4">
        <v>209.9</v>
      </c>
      <c r="I94" s="4">
        <v>208.11111111111111</v>
      </c>
      <c r="J94" s="4">
        <v>23.444444444444443</v>
      </c>
      <c r="K94" s="4">
        <v>0.65555555555555556</v>
      </c>
      <c r="L94" s="4">
        <v>86.333333333333329</v>
      </c>
      <c r="M94" s="4">
        <v>6.6666666666666666E-2</v>
      </c>
      <c r="N94" s="4">
        <v>0.91111111111111109</v>
      </c>
      <c r="O94" s="5">
        <v>329.05555555555554</v>
      </c>
      <c r="P94" s="142"/>
      <c r="Q94" s="9"/>
      <c r="R94" s="9"/>
    </row>
    <row r="95" spans="1:18" ht="15" customHeight="1" x14ac:dyDescent="0.3">
      <c r="A95" s="90" t="s">
        <v>45</v>
      </c>
      <c r="B95" s="11">
        <v>2017</v>
      </c>
      <c r="C95" s="11">
        <v>312</v>
      </c>
      <c r="D95" s="11">
        <v>200</v>
      </c>
      <c r="E95" s="4">
        <v>4.08</v>
      </c>
      <c r="F95" s="4">
        <v>6.4</v>
      </c>
      <c r="G95" s="4">
        <v>27.266666666666666</v>
      </c>
      <c r="H95" s="4">
        <v>183</v>
      </c>
      <c r="I95" s="4">
        <v>49.306666666666658</v>
      </c>
      <c r="J95" s="4">
        <v>37</v>
      </c>
      <c r="K95" s="4">
        <v>1.3466666666666667</v>
      </c>
      <c r="L95" s="4">
        <v>75.466666666666669</v>
      </c>
      <c r="M95" s="4">
        <v>0.14000000000000001</v>
      </c>
      <c r="N95" s="4">
        <v>12.493333333333332</v>
      </c>
      <c r="O95" s="5">
        <v>34</v>
      </c>
      <c r="P95" s="142"/>
      <c r="Q95" s="9"/>
      <c r="R95" s="9"/>
    </row>
    <row r="96" spans="1:18" x14ac:dyDescent="0.3">
      <c r="A96" s="90" t="s">
        <v>46</v>
      </c>
      <c r="B96" s="11">
        <v>2017</v>
      </c>
      <c r="C96" s="11">
        <v>47</v>
      </c>
      <c r="D96" s="11">
        <v>100</v>
      </c>
      <c r="E96" s="4">
        <v>1.7166666666666666</v>
      </c>
      <c r="F96" s="4">
        <v>5.0166666666666666</v>
      </c>
      <c r="G96" s="4">
        <v>8.4999999999999982</v>
      </c>
      <c r="H96" s="4">
        <v>86.033333333333331</v>
      </c>
      <c r="I96" s="4">
        <v>52.45</v>
      </c>
      <c r="J96" s="4">
        <v>16.083333333333332</v>
      </c>
      <c r="K96" s="4">
        <v>0.66666666666666663</v>
      </c>
      <c r="L96" s="4">
        <v>34.083333333333336</v>
      </c>
      <c r="M96" s="4">
        <v>1.6666666666666666E-2</v>
      </c>
      <c r="N96" s="4">
        <v>19.883333333333333</v>
      </c>
      <c r="O96" s="5">
        <v>0</v>
      </c>
      <c r="P96" s="142"/>
      <c r="Q96" s="9"/>
      <c r="R96" s="9"/>
    </row>
    <row r="97" spans="1:18" x14ac:dyDescent="0.3">
      <c r="A97" s="90" t="s">
        <v>14</v>
      </c>
      <c r="B97" s="11">
        <v>2017</v>
      </c>
      <c r="C97" s="11">
        <v>376</v>
      </c>
      <c r="D97" s="12">
        <v>200</v>
      </c>
      <c r="E97" s="4">
        <v>0.2</v>
      </c>
      <c r="F97" s="4">
        <v>0</v>
      </c>
      <c r="G97" s="4">
        <v>14</v>
      </c>
      <c r="H97" s="4">
        <v>28</v>
      </c>
      <c r="I97" s="4">
        <v>6</v>
      </c>
      <c r="J97" s="4">
        <v>0</v>
      </c>
      <c r="K97" s="4">
        <v>0.4</v>
      </c>
      <c r="L97" s="4">
        <v>0</v>
      </c>
      <c r="M97" s="4">
        <v>0</v>
      </c>
      <c r="N97" s="4">
        <v>0</v>
      </c>
      <c r="O97" s="4">
        <v>0</v>
      </c>
      <c r="P97" s="142"/>
      <c r="Q97" s="9"/>
      <c r="R97" s="9"/>
    </row>
    <row r="98" spans="1:18" x14ac:dyDescent="0.3">
      <c r="A98" s="13" t="s">
        <v>21</v>
      </c>
      <c r="B98" s="10" t="s">
        <v>78</v>
      </c>
      <c r="C98" s="10" t="s">
        <v>78</v>
      </c>
      <c r="D98" s="24">
        <v>20</v>
      </c>
      <c r="E98" s="4">
        <v>1.58</v>
      </c>
      <c r="F98" s="4">
        <v>0.2</v>
      </c>
      <c r="G98" s="4">
        <v>9.66</v>
      </c>
      <c r="H98" s="4">
        <v>46.76</v>
      </c>
      <c r="I98" s="4">
        <v>4.5999999999999996</v>
      </c>
      <c r="J98" s="4">
        <v>6.6</v>
      </c>
      <c r="K98" s="4">
        <v>0.22</v>
      </c>
      <c r="L98" s="4">
        <v>17.399999999999999</v>
      </c>
      <c r="M98" s="4">
        <v>0.08</v>
      </c>
      <c r="N98" s="4">
        <v>0</v>
      </c>
      <c r="O98" s="5">
        <v>0</v>
      </c>
      <c r="P98" s="142"/>
      <c r="Q98" s="9"/>
      <c r="R98" s="9"/>
    </row>
    <row r="99" spans="1:18" x14ac:dyDescent="0.3">
      <c r="A99" s="13" t="s">
        <v>22</v>
      </c>
      <c r="B99" s="10" t="s">
        <v>78</v>
      </c>
      <c r="C99" s="10" t="s">
        <v>78</v>
      </c>
      <c r="D99" s="10">
        <v>40</v>
      </c>
      <c r="E99" s="4">
        <v>2.2400000000000002</v>
      </c>
      <c r="F99" s="4">
        <v>0.44</v>
      </c>
      <c r="G99" s="4">
        <v>19.760000000000002</v>
      </c>
      <c r="H99" s="4">
        <v>91.96</v>
      </c>
      <c r="I99" s="4">
        <v>9.1999999999999993</v>
      </c>
      <c r="J99" s="4">
        <v>10</v>
      </c>
      <c r="K99" s="4">
        <v>1.24</v>
      </c>
      <c r="L99" s="4">
        <v>42.4</v>
      </c>
      <c r="M99" s="4">
        <v>0.04</v>
      </c>
      <c r="N99" s="4">
        <v>0</v>
      </c>
      <c r="O99" s="5">
        <v>0</v>
      </c>
      <c r="P99" s="142"/>
      <c r="Q99" s="9"/>
      <c r="R99" s="9"/>
    </row>
    <row r="100" spans="1:18" x14ac:dyDescent="0.3">
      <c r="A100" s="13" t="s">
        <v>16</v>
      </c>
      <c r="B100" s="10"/>
      <c r="C100" s="10"/>
      <c r="D100" s="11">
        <v>930</v>
      </c>
      <c r="E100" s="4">
        <f>SUM(E92:E99)</f>
        <v>28.348888888888887</v>
      </c>
      <c r="F100" s="4">
        <f>SUM(F92:F99)</f>
        <v>33.756666666666668</v>
      </c>
      <c r="G100" s="4">
        <f>SUM(G92:G99)</f>
        <v>118.92</v>
      </c>
      <c r="H100" s="4">
        <f>SUM(H92:H99)</f>
        <v>866.11333333333334</v>
      </c>
      <c r="I100" s="4">
        <f>SUM(I92:I99)</f>
        <v>359.76587301587301</v>
      </c>
      <c r="J100" s="4">
        <v>120.7811111111111</v>
      </c>
      <c r="K100" s="4">
        <v>5.6746031746031749</v>
      </c>
      <c r="L100" s="4">
        <v>341.24809523809517</v>
      </c>
      <c r="M100" s="4">
        <f>SUM(M92:M99)</f>
        <v>0.48238095238095241</v>
      </c>
      <c r="N100" s="4">
        <f>SUM(N92:N99)</f>
        <v>40.753492063492061</v>
      </c>
      <c r="O100" s="4">
        <f>SUM(O92:O99)</f>
        <v>365.33555555555552</v>
      </c>
      <c r="P100" s="142"/>
      <c r="Q100" s="9"/>
      <c r="R100" s="9"/>
    </row>
    <row r="101" spans="1:18" s="62" customFormat="1" x14ac:dyDescent="0.3">
      <c r="A101" s="94" t="s">
        <v>24</v>
      </c>
      <c r="B101" s="102"/>
      <c r="C101" s="102"/>
      <c r="D101" s="121">
        <f t="shared" ref="D101:O101" si="13">D100+D90</f>
        <v>1480</v>
      </c>
      <c r="E101" s="95">
        <f>E100+E90</f>
        <v>46.588888888888889</v>
      </c>
      <c r="F101" s="95">
        <f t="shared" si="13"/>
        <v>52.551666666666662</v>
      </c>
      <c r="G101" s="95">
        <f>G100+G90</f>
        <v>204.69499999999999</v>
      </c>
      <c r="H101" s="95">
        <f t="shared" si="13"/>
        <v>1444.5533333333333</v>
      </c>
      <c r="I101" s="95">
        <f t="shared" si="13"/>
        <v>738.98492063492063</v>
      </c>
      <c r="J101" s="95">
        <f t="shared" si="13"/>
        <v>210.64301587301588</v>
      </c>
      <c r="K101" s="95">
        <f t="shared" si="13"/>
        <v>8.6488888888888891</v>
      </c>
      <c r="L101" s="95">
        <f t="shared" si="13"/>
        <v>620.71476190476187</v>
      </c>
      <c r="M101" s="95">
        <f t="shared" si="13"/>
        <v>0.80809523809523809</v>
      </c>
      <c r="N101" s="95">
        <f t="shared" si="13"/>
        <v>42.773492063492064</v>
      </c>
      <c r="O101" s="95">
        <f t="shared" si="13"/>
        <v>393.57552698412695</v>
      </c>
      <c r="P101" s="143"/>
      <c r="Q101" s="61"/>
      <c r="R101" s="61"/>
    </row>
    <row r="102" spans="1:18" s="62" customFormat="1" x14ac:dyDescent="0.3">
      <c r="A102" s="167" t="s">
        <v>60</v>
      </c>
      <c r="B102" s="168"/>
      <c r="C102" s="168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25"/>
      <c r="Q102" s="93"/>
      <c r="R102" s="93"/>
    </row>
    <row r="103" spans="1:18" s="62" customFormat="1" x14ac:dyDescent="0.3">
      <c r="A103" s="167" t="s">
        <v>88</v>
      </c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96"/>
      <c r="Q103" s="61"/>
      <c r="R103" s="61"/>
    </row>
    <row r="104" spans="1:18" s="1" customFormat="1" ht="17.399999999999999" customHeight="1" x14ac:dyDescent="0.3">
      <c r="A104" s="82" t="s">
        <v>56</v>
      </c>
      <c r="B104" s="24">
        <v>2017</v>
      </c>
      <c r="C104" s="24">
        <v>173</v>
      </c>
      <c r="D104" s="85">
        <v>260</v>
      </c>
      <c r="E104" s="4">
        <v>7.64</v>
      </c>
      <c r="F104" s="4">
        <v>12.97</v>
      </c>
      <c r="G104" s="4">
        <v>82.65</v>
      </c>
      <c r="H104" s="4">
        <v>389.10857142857139</v>
      </c>
      <c r="I104" s="4">
        <v>237.96190476190475</v>
      </c>
      <c r="J104" s="4">
        <v>28.550476190476189</v>
      </c>
      <c r="K104" s="4">
        <v>1.460952380952381</v>
      </c>
      <c r="L104" s="4">
        <v>144.85714285714286</v>
      </c>
      <c r="M104" s="4">
        <v>0.21047619047619048</v>
      </c>
      <c r="N104" s="4">
        <v>0.66857142857142859</v>
      </c>
      <c r="O104" s="5">
        <v>26.51882086167798</v>
      </c>
      <c r="P104" s="147" t="s">
        <v>60</v>
      </c>
      <c r="Q104" s="3"/>
      <c r="R104" s="3"/>
    </row>
    <row r="105" spans="1:18" s="1" customFormat="1" x14ac:dyDescent="0.3">
      <c r="A105" s="90" t="s">
        <v>35</v>
      </c>
      <c r="B105" s="31">
        <v>2017</v>
      </c>
      <c r="C105" s="31">
        <v>8</v>
      </c>
      <c r="D105" s="11">
        <v>200</v>
      </c>
      <c r="E105" s="4">
        <v>0.67777777777777781</v>
      </c>
      <c r="F105" s="4">
        <v>0.27777777777777779</v>
      </c>
      <c r="G105" s="4">
        <v>17.977777777777778</v>
      </c>
      <c r="H105" s="4">
        <v>77.12222222222222</v>
      </c>
      <c r="I105" s="4">
        <v>21.333333333333332</v>
      </c>
      <c r="J105" s="4">
        <v>3.4444444444444446</v>
      </c>
      <c r="K105" s="4">
        <v>0.6333333333333333</v>
      </c>
      <c r="L105" s="4">
        <v>3.4444444444444446</v>
      </c>
      <c r="M105" s="4">
        <v>0.01</v>
      </c>
      <c r="N105" s="4">
        <v>19</v>
      </c>
      <c r="O105" s="5">
        <v>0</v>
      </c>
      <c r="P105" s="147"/>
      <c r="Q105" s="3"/>
      <c r="R105" s="3"/>
    </row>
    <row r="106" spans="1:18" s="1" customFormat="1" x14ac:dyDescent="0.3">
      <c r="A106" s="90" t="s">
        <v>55</v>
      </c>
      <c r="B106" s="11">
        <v>2017</v>
      </c>
      <c r="C106" s="11">
        <v>209</v>
      </c>
      <c r="D106" s="11">
        <v>40</v>
      </c>
      <c r="E106" s="4">
        <v>5.0999999999999996</v>
      </c>
      <c r="F106" s="4">
        <v>4.5999999999999996</v>
      </c>
      <c r="G106" s="4">
        <v>0.3</v>
      </c>
      <c r="H106" s="4">
        <v>63</v>
      </c>
      <c r="I106" s="4">
        <v>22</v>
      </c>
      <c r="J106" s="4">
        <v>4.8</v>
      </c>
      <c r="K106" s="4">
        <v>1</v>
      </c>
      <c r="L106" s="4">
        <v>76.8</v>
      </c>
      <c r="M106" s="4">
        <v>0.03</v>
      </c>
      <c r="N106" s="4">
        <v>0</v>
      </c>
      <c r="O106" s="5">
        <v>0.11399999999999999</v>
      </c>
      <c r="P106" s="147"/>
      <c r="Q106" s="3"/>
      <c r="R106" s="3"/>
    </row>
    <row r="107" spans="1:18" s="1" customFormat="1" x14ac:dyDescent="0.3">
      <c r="A107" s="90" t="s">
        <v>13</v>
      </c>
      <c r="B107" s="10" t="s">
        <v>78</v>
      </c>
      <c r="C107" s="10" t="s">
        <v>78</v>
      </c>
      <c r="D107" s="12">
        <v>60</v>
      </c>
      <c r="E107" s="4">
        <v>4.74</v>
      </c>
      <c r="F107" s="4">
        <v>0.6</v>
      </c>
      <c r="G107" s="4">
        <v>28.98</v>
      </c>
      <c r="H107" s="4">
        <v>140.28</v>
      </c>
      <c r="I107" s="4">
        <v>13.8</v>
      </c>
      <c r="J107" s="4">
        <v>19.8</v>
      </c>
      <c r="K107" s="4">
        <v>0.66</v>
      </c>
      <c r="L107" s="4">
        <v>52.2</v>
      </c>
      <c r="M107" s="4">
        <v>0.1</v>
      </c>
      <c r="N107" s="4">
        <v>0</v>
      </c>
      <c r="O107" s="5">
        <v>0</v>
      </c>
      <c r="P107" s="147"/>
      <c r="Q107" s="3"/>
      <c r="R107" s="3"/>
    </row>
    <row r="108" spans="1:18" s="1" customFormat="1" x14ac:dyDescent="0.3">
      <c r="A108" s="123" t="s">
        <v>16</v>
      </c>
      <c r="B108" s="26"/>
      <c r="C108" s="26"/>
      <c r="D108" s="11">
        <v>560</v>
      </c>
      <c r="E108" s="4">
        <f>SUM(E104:E107)</f>
        <v>18.157777777777778</v>
      </c>
      <c r="F108" s="4">
        <f>SUM(F104:F107)</f>
        <v>18.44777777777778</v>
      </c>
      <c r="G108" s="4">
        <f>SUM(G104:G107)</f>
        <v>129.90777777777777</v>
      </c>
      <c r="H108" s="4">
        <f>SUM(H104:H107)</f>
        <v>669.51079365079363</v>
      </c>
      <c r="I108" s="4">
        <f t="shared" ref="I108:O108" si="14">SUM(I104:I107)</f>
        <v>295.09523809523807</v>
      </c>
      <c r="J108" s="4">
        <f t="shared" si="14"/>
        <v>56.594920634920626</v>
      </c>
      <c r="K108" s="4">
        <f t="shared" si="14"/>
        <v>3.7542857142857144</v>
      </c>
      <c r="L108" s="4">
        <f t="shared" si="14"/>
        <v>277.30158730158729</v>
      </c>
      <c r="M108" s="4">
        <f t="shared" si="14"/>
        <v>0.3504761904761905</v>
      </c>
      <c r="N108" s="4">
        <f t="shared" si="14"/>
        <v>19.668571428571429</v>
      </c>
      <c r="O108" s="5">
        <f t="shared" si="14"/>
        <v>26.632820861677981</v>
      </c>
      <c r="P108" s="147"/>
      <c r="Q108" s="3"/>
      <c r="R108" s="3"/>
    </row>
    <row r="109" spans="1:18" s="1" customFormat="1" ht="12.6" customHeight="1" x14ac:dyDescent="0.3">
      <c r="A109" s="166" t="s">
        <v>89</v>
      </c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47"/>
      <c r="Q109" s="3"/>
      <c r="R109" s="3"/>
    </row>
    <row r="110" spans="1:18" s="1" customFormat="1" x14ac:dyDescent="0.3">
      <c r="A110" s="13" t="s">
        <v>57</v>
      </c>
      <c r="B110" s="10">
        <v>2017</v>
      </c>
      <c r="C110" s="10">
        <v>102</v>
      </c>
      <c r="D110" s="24">
        <v>250</v>
      </c>
      <c r="E110" s="4">
        <v>5.49</v>
      </c>
      <c r="F110" s="4">
        <v>5.28</v>
      </c>
      <c r="G110" s="4">
        <v>16.329999999999998</v>
      </c>
      <c r="H110" s="4">
        <v>134.75</v>
      </c>
      <c r="I110" s="4">
        <v>38.08</v>
      </c>
      <c r="J110" s="4">
        <v>35.299999999999997</v>
      </c>
      <c r="K110" s="4">
        <v>2.0299999999999998</v>
      </c>
      <c r="L110" s="4">
        <v>87.18</v>
      </c>
      <c r="M110" s="4">
        <v>0.08</v>
      </c>
      <c r="N110" s="4">
        <v>5.81</v>
      </c>
      <c r="O110" s="5">
        <v>0</v>
      </c>
      <c r="P110" s="147"/>
      <c r="Q110" s="3"/>
      <c r="R110" s="3"/>
    </row>
    <row r="111" spans="1:18" s="1" customFormat="1" x14ac:dyDescent="0.3">
      <c r="A111" s="13" t="s">
        <v>17</v>
      </c>
      <c r="B111" s="24">
        <v>2017</v>
      </c>
      <c r="C111" s="10">
        <v>288</v>
      </c>
      <c r="D111" s="24">
        <v>10</v>
      </c>
      <c r="E111" s="4">
        <v>2.11</v>
      </c>
      <c r="F111" s="4">
        <v>1.36</v>
      </c>
      <c r="G111" s="4">
        <v>0</v>
      </c>
      <c r="H111" s="4">
        <v>20.67</v>
      </c>
      <c r="I111" s="4">
        <v>3.9</v>
      </c>
      <c r="J111" s="4">
        <v>2</v>
      </c>
      <c r="K111" s="4">
        <v>0.18</v>
      </c>
      <c r="L111" s="4">
        <v>14.3</v>
      </c>
      <c r="M111" s="4">
        <v>0.04</v>
      </c>
      <c r="N111" s="4">
        <v>0</v>
      </c>
      <c r="O111" s="5">
        <v>2.2799999999999998</v>
      </c>
      <c r="P111" s="147"/>
      <c r="Q111" s="3"/>
      <c r="R111" s="3"/>
    </row>
    <row r="112" spans="1:18" s="1" customFormat="1" x14ac:dyDescent="0.3">
      <c r="A112" s="90" t="s">
        <v>58</v>
      </c>
      <c r="B112" s="10">
        <v>2017</v>
      </c>
      <c r="C112" s="11">
        <v>291</v>
      </c>
      <c r="D112" s="11">
        <v>250</v>
      </c>
      <c r="E112" s="4">
        <v>19.05</v>
      </c>
      <c r="F112" s="4">
        <v>20.58</v>
      </c>
      <c r="G112" s="4">
        <f>42*250/200</f>
        <v>52.5</v>
      </c>
      <c r="H112" s="5">
        <v>489.94</v>
      </c>
      <c r="I112" s="6">
        <f>45.1*250/200</f>
        <v>56.375</v>
      </c>
      <c r="J112" s="6">
        <f>47.5*250/200</f>
        <v>59.375</v>
      </c>
      <c r="K112" s="6">
        <f>2.19*250/200</f>
        <v>2.7374999999999998</v>
      </c>
      <c r="L112" s="6">
        <v>179.13</v>
      </c>
      <c r="M112" s="6">
        <f>0.06*250/200</f>
        <v>7.4999999999999997E-2</v>
      </c>
      <c r="N112" s="6">
        <f>1.01*250/200</f>
        <v>1.2625</v>
      </c>
      <c r="O112" s="7">
        <f>248.03*250/200</f>
        <v>310.03750000000002</v>
      </c>
      <c r="P112" s="147"/>
      <c r="Q112" s="3"/>
      <c r="R112" s="3"/>
    </row>
    <row r="113" spans="1:18" s="1" customFormat="1" x14ac:dyDescent="0.3">
      <c r="A113" s="90" t="s">
        <v>63</v>
      </c>
      <c r="B113" s="11">
        <v>2008</v>
      </c>
      <c r="C113" s="11">
        <v>17</v>
      </c>
      <c r="D113" s="11">
        <v>100</v>
      </c>
      <c r="E113" s="4">
        <v>0.8666666666666667</v>
      </c>
      <c r="F113" s="4">
        <v>3.12</v>
      </c>
      <c r="G113" s="4">
        <v>2.6166666666666667</v>
      </c>
      <c r="H113" s="4">
        <v>59.800000000000004</v>
      </c>
      <c r="I113" s="4">
        <v>23.283333333333335</v>
      </c>
      <c r="J113" s="4">
        <v>13.433333333333334</v>
      </c>
      <c r="K113" s="4">
        <v>0.222</v>
      </c>
      <c r="L113" s="4">
        <v>28.233333333333338</v>
      </c>
      <c r="M113" s="4">
        <v>1.6666666666666666E-2</v>
      </c>
      <c r="N113" s="4">
        <v>5.55</v>
      </c>
      <c r="O113" s="5">
        <v>0</v>
      </c>
      <c r="P113" s="147"/>
      <c r="Q113" s="3"/>
      <c r="R113" s="3"/>
    </row>
    <row r="114" spans="1:18" s="1" customFormat="1" ht="14.4" customHeight="1" x14ac:dyDescent="0.3">
      <c r="A114" s="89" t="s">
        <v>23</v>
      </c>
      <c r="B114" s="25">
        <v>2017</v>
      </c>
      <c r="C114" s="25">
        <v>349</v>
      </c>
      <c r="D114" s="25">
        <v>200</v>
      </c>
      <c r="E114" s="21">
        <v>0.04</v>
      </c>
      <c r="F114" s="21">
        <v>0</v>
      </c>
      <c r="G114" s="21">
        <v>24.76</v>
      </c>
      <c r="H114" s="21">
        <v>94.2</v>
      </c>
      <c r="I114" s="21">
        <v>6.4</v>
      </c>
      <c r="J114" s="21">
        <v>0</v>
      </c>
      <c r="K114" s="21">
        <v>0.18</v>
      </c>
      <c r="L114" s="21">
        <v>3.6</v>
      </c>
      <c r="M114" s="21">
        <v>0.01</v>
      </c>
      <c r="N114" s="21">
        <v>1.08</v>
      </c>
      <c r="O114" s="21">
        <v>0</v>
      </c>
      <c r="P114" s="147"/>
      <c r="Q114" s="3"/>
      <c r="R114" s="3"/>
    </row>
    <row r="115" spans="1:18" s="1" customFormat="1" x14ac:dyDescent="0.3">
      <c r="A115" s="13" t="s">
        <v>21</v>
      </c>
      <c r="B115" s="10" t="s">
        <v>78</v>
      </c>
      <c r="C115" s="10" t="s">
        <v>78</v>
      </c>
      <c r="D115" s="24">
        <v>20</v>
      </c>
      <c r="E115" s="4">
        <v>1.58</v>
      </c>
      <c r="F115" s="4">
        <v>0.2</v>
      </c>
      <c r="G115" s="4">
        <v>9.66</v>
      </c>
      <c r="H115" s="4">
        <v>46.76</v>
      </c>
      <c r="I115" s="4">
        <v>4.5999999999999996</v>
      </c>
      <c r="J115" s="4">
        <v>6.6</v>
      </c>
      <c r="K115" s="4">
        <v>0.22</v>
      </c>
      <c r="L115" s="4">
        <v>17.399999999999999</v>
      </c>
      <c r="M115" s="4">
        <v>0.08</v>
      </c>
      <c r="N115" s="4">
        <v>0</v>
      </c>
      <c r="O115" s="5">
        <v>0</v>
      </c>
      <c r="P115" s="147"/>
      <c r="Q115" s="3"/>
      <c r="R115" s="3"/>
    </row>
    <row r="116" spans="1:18" s="1" customFormat="1" x14ac:dyDescent="0.3">
      <c r="A116" s="13" t="s">
        <v>22</v>
      </c>
      <c r="B116" s="10" t="s">
        <v>78</v>
      </c>
      <c r="C116" s="10" t="s">
        <v>78</v>
      </c>
      <c r="D116" s="10">
        <v>40</v>
      </c>
      <c r="E116" s="4">
        <v>2.2400000000000002</v>
      </c>
      <c r="F116" s="4">
        <v>0.44</v>
      </c>
      <c r="G116" s="4">
        <v>19.760000000000002</v>
      </c>
      <c r="H116" s="4">
        <v>91.96</v>
      </c>
      <c r="I116" s="4">
        <v>9.1999999999999993</v>
      </c>
      <c r="J116" s="4">
        <v>10</v>
      </c>
      <c r="K116" s="4">
        <v>1.24</v>
      </c>
      <c r="L116" s="4">
        <v>42.4</v>
      </c>
      <c r="M116" s="4">
        <v>0.04</v>
      </c>
      <c r="N116" s="4">
        <v>0</v>
      </c>
      <c r="O116" s="5">
        <v>0</v>
      </c>
      <c r="P116" s="147"/>
      <c r="Q116" s="3"/>
      <c r="R116" s="3"/>
    </row>
    <row r="117" spans="1:18" x14ac:dyDescent="0.3">
      <c r="A117" s="123" t="s">
        <v>16</v>
      </c>
      <c r="B117" s="26"/>
      <c r="C117" s="26"/>
      <c r="D117" s="11">
        <v>870</v>
      </c>
      <c r="E117" s="4">
        <f>SUM(E110:E116)</f>
        <v>31.376666666666665</v>
      </c>
      <c r="F117" s="4">
        <f>SUM(F110:F116)</f>
        <v>30.98</v>
      </c>
      <c r="G117" s="4">
        <f>SUM(G110:G116)</f>
        <v>125.62666666666667</v>
      </c>
      <c r="H117" s="4">
        <f>SUM(H110:H116)</f>
        <v>938.08</v>
      </c>
      <c r="I117" s="4">
        <f t="shared" ref="I117:O117" si="15">SUM(I110:I116)</f>
        <v>141.83833333333331</v>
      </c>
      <c r="J117" s="4">
        <f t="shared" si="15"/>
        <v>126.70833333333333</v>
      </c>
      <c r="K117" s="4">
        <f t="shared" si="15"/>
        <v>6.8094999999999999</v>
      </c>
      <c r="L117" s="4">
        <f t="shared" si="15"/>
        <v>372.24333333333334</v>
      </c>
      <c r="M117" s="4">
        <f t="shared" si="15"/>
        <v>0.34166666666666667</v>
      </c>
      <c r="N117" s="4">
        <f t="shared" si="15"/>
        <v>13.702499999999999</v>
      </c>
      <c r="O117" s="5">
        <f t="shared" si="15"/>
        <v>312.3175</v>
      </c>
      <c r="P117" s="147"/>
      <c r="Q117" s="9"/>
      <c r="R117" s="9"/>
    </row>
    <row r="118" spans="1:18" s="62" customFormat="1" x14ac:dyDescent="0.3">
      <c r="A118" s="94" t="s">
        <v>24</v>
      </c>
      <c r="B118" s="102"/>
      <c r="C118" s="102"/>
      <c r="D118" s="121">
        <v>1430</v>
      </c>
      <c r="E118" s="95">
        <f>E117+E108</f>
        <v>49.534444444444446</v>
      </c>
      <c r="F118" s="95">
        <f>F117+F108</f>
        <v>49.427777777777777</v>
      </c>
      <c r="G118" s="95">
        <f>G117+G108</f>
        <v>255.53444444444443</v>
      </c>
      <c r="H118" s="95">
        <f>H117+H108</f>
        <v>1607.5907936507938</v>
      </c>
      <c r="I118" s="95">
        <f t="shared" ref="I118:L118" si="16">I117+I108</f>
        <v>436.93357142857138</v>
      </c>
      <c r="J118" s="95">
        <f t="shared" si="16"/>
        <v>183.30325396825396</v>
      </c>
      <c r="K118" s="95">
        <f t="shared" si="16"/>
        <v>10.563785714285714</v>
      </c>
      <c r="L118" s="95">
        <f t="shared" si="16"/>
        <v>649.54492063492057</v>
      </c>
      <c r="M118" s="95">
        <f>M117+M108</f>
        <v>0.69214285714285717</v>
      </c>
      <c r="N118" s="95">
        <f>N117+N108</f>
        <v>33.371071428571426</v>
      </c>
      <c r="O118" s="120">
        <f>O117+O108</f>
        <v>338.95032086167799</v>
      </c>
      <c r="P118" s="147"/>
      <c r="Q118" s="61"/>
      <c r="R118" s="61"/>
    </row>
    <row r="119" spans="1:18" s="62" customFormat="1" x14ac:dyDescent="0.3">
      <c r="A119" s="167" t="s">
        <v>65</v>
      </c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96"/>
      <c r="Q119" s="61"/>
      <c r="R119" s="61"/>
    </row>
    <row r="120" spans="1:18" s="62" customFormat="1" x14ac:dyDescent="0.3">
      <c r="A120" s="167" t="s">
        <v>88</v>
      </c>
      <c r="B120" s="167"/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96"/>
      <c r="Q120" s="61"/>
      <c r="R120" s="61"/>
    </row>
    <row r="121" spans="1:18" ht="27.6" x14ac:dyDescent="0.3">
      <c r="A121" s="13" t="s">
        <v>61</v>
      </c>
      <c r="B121" s="10">
        <v>2017</v>
      </c>
      <c r="C121" s="10">
        <v>188</v>
      </c>
      <c r="D121" s="12">
        <v>210</v>
      </c>
      <c r="E121" s="4">
        <f>9.09*210/180</f>
        <v>10.604999999999999</v>
      </c>
      <c r="F121" s="4">
        <f>4.28*210/180</f>
        <v>4.9933333333333341</v>
      </c>
      <c r="G121" s="4">
        <f>32.27*210/180</f>
        <v>37.648333333333341</v>
      </c>
      <c r="H121" s="4">
        <v>228.54</v>
      </c>
      <c r="I121" s="4">
        <v>182.4433333333333</v>
      </c>
      <c r="J121" s="4">
        <v>31.803333333333335</v>
      </c>
      <c r="K121" s="4">
        <v>1.4350000000000001</v>
      </c>
      <c r="L121" s="4">
        <v>215.75166666666669</v>
      </c>
      <c r="M121" s="4">
        <v>0.105</v>
      </c>
      <c r="N121" s="4">
        <v>2.3333333333333335</v>
      </c>
      <c r="O121" s="5">
        <v>29.65666666666667</v>
      </c>
      <c r="P121" s="147" t="s">
        <v>65</v>
      </c>
      <c r="Q121" s="9"/>
      <c r="R121" s="9"/>
    </row>
    <row r="122" spans="1:18" ht="15" customHeight="1" x14ac:dyDescent="0.3">
      <c r="A122" s="29" t="s">
        <v>49</v>
      </c>
      <c r="B122" s="12">
        <v>2017</v>
      </c>
      <c r="C122" s="122">
        <v>382</v>
      </c>
      <c r="D122" s="12">
        <v>200</v>
      </c>
      <c r="E122" s="4">
        <v>3.52</v>
      </c>
      <c r="F122" s="4">
        <v>3.72</v>
      </c>
      <c r="G122" s="4">
        <v>25.49</v>
      </c>
      <c r="H122" s="4">
        <v>145.19999999999999</v>
      </c>
      <c r="I122" s="4">
        <v>122</v>
      </c>
      <c r="J122" s="4">
        <v>14</v>
      </c>
      <c r="K122" s="4">
        <v>0.56000000000000005</v>
      </c>
      <c r="L122" s="4">
        <v>39</v>
      </c>
      <c r="M122" s="4">
        <v>0.04</v>
      </c>
      <c r="N122" s="4">
        <v>1.3</v>
      </c>
      <c r="O122" s="5">
        <v>1.1399999999999999E-2</v>
      </c>
      <c r="P122" s="147"/>
      <c r="Q122" s="9"/>
      <c r="R122" s="9"/>
    </row>
    <row r="123" spans="1:18" ht="15" customHeight="1" x14ac:dyDescent="0.3">
      <c r="A123" s="90" t="s">
        <v>77</v>
      </c>
      <c r="B123" s="11">
        <v>3</v>
      </c>
      <c r="C123" s="11">
        <v>2017</v>
      </c>
      <c r="D123" s="12">
        <v>40</v>
      </c>
      <c r="E123" s="4">
        <v>4.9000000000000004</v>
      </c>
      <c r="F123" s="4">
        <v>11.55</v>
      </c>
      <c r="G123" s="4">
        <v>17.100000000000001</v>
      </c>
      <c r="H123" s="4">
        <v>193</v>
      </c>
      <c r="I123" s="4">
        <v>106</v>
      </c>
      <c r="J123" s="4">
        <v>4.8</v>
      </c>
      <c r="K123" s="4">
        <v>0.12</v>
      </c>
      <c r="L123" s="4">
        <v>0.09</v>
      </c>
      <c r="M123" s="4">
        <v>0.06</v>
      </c>
      <c r="N123" s="4">
        <v>0.11</v>
      </c>
      <c r="O123" s="5">
        <v>39</v>
      </c>
      <c r="P123" s="147"/>
      <c r="Q123" s="9"/>
      <c r="R123" s="9"/>
    </row>
    <row r="124" spans="1:18" ht="15" customHeight="1" x14ac:dyDescent="0.3">
      <c r="A124" s="90" t="s">
        <v>62</v>
      </c>
      <c r="B124" s="11">
        <v>2017</v>
      </c>
      <c r="C124" s="11">
        <v>338</v>
      </c>
      <c r="D124" s="12">
        <v>100</v>
      </c>
      <c r="E124" s="4">
        <v>0.9</v>
      </c>
      <c r="F124" s="4">
        <v>0.2</v>
      </c>
      <c r="G124" s="4">
        <v>8.1</v>
      </c>
      <c r="H124" s="4">
        <v>37.799999999999997</v>
      </c>
      <c r="I124" s="4">
        <v>34</v>
      </c>
      <c r="J124" s="4">
        <v>13</v>
      </c>
      <c r="K124" s="4">
        <v>0.3</v>
      </c>
      <c r="L124" s="4">
        <v>18.329999999999998</v>
      </c>
      <c r="M124" s="4">
        <v>0.04</v>
      </c>
      <c r="N124" s="4">
        <v>26</v>
      </c>
      <c r="O124" s="5">
        <v>0</v>
      </c>
      <c r="P124" s="147"/>
      <c r="Q124" s="9"/>
      <c r="R124" s="9"/>
    </row>
    <row r="125" spans="1:18" ht="15" customHeight="1" x14ac:dyDescent="0.3">
      <c r="A125" s="123" t="s">
        <v>16</v>
      </c>
      <c r="B125" s="26"/>
      <c r="C125" s="26"/>
      <c r="D125" s="11">
        <v>550</v>
      </c>
      <c r="E125" s="4">
        <f>SUM(E121:E124)</f>
        <v>19.924999999999997</v>
      </c>
      <c r="F125" s="4">
        <f>SUM(F121:F124)</f>
        <v>20.463333333333335</v>
      </c>
      <c r="G125" s="4">
        <f>SUM(G121:G124)</f>
        <v>88.338333333333338</v>
      </c>
      <c r="H125" s="4">
        <f>SUM(H121:H124)</f>
        <v>604.54</v>
      </c>
      <c r="I125" s="4">
        <f t="shared" ref="I125:O125" si="17">SUM(I121:I124)</f>
        <v>444.44333333333327</v>
      </c>
      <c r="J125" s="4">
        <f t="shared" si="17"/>
        <v>63.603333333333332</v>
      </c>
      <c r="K125" s="4">
        <f t="shared" si="17"/>
        <v>2.415</v>
      </c>
      <c r="L125" s="4">
        <f t="shared" si="17"/>
        <v>273.17166666666668</v>
      </c>
      <c r="M125" s="4">
        <f t="shared" si="17"/>
        <v>0.245</v>
      </c>
      <c r="N125" s="4">
        <f t="shared" si="17"/>
        <v>29.743333333333332</v>
      </c>
      <c r="O125" s="5">
        <f t="shared" si="17"/>
        <v>68.668066666666675</v>
      </c>
      <c r="P125" s="147"/>
      <c r="Q125" s="9"/>
      <c r="R125" s="9"/>
    </row>
    <row r="126" spans="1:18" ht="15" customHeight="1" x14ac:dyDescent="0.3">
      <c r="A126" s="166" t="s">
        <v>89</v>
      </c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47"/>
      <c r="Q126" s="9"/>
      <c r="R126" s="9"/>
    </row>
    <row r="127" spans="1:18" ht="15" customHeight="1" x14ac:dyDescent="0.3">
      <c r="A127" s="13" t="s">
        <v>64</v>
      </c>
      <c r="B127" s="30">
        <v>2017</v>
      </c>
      <c r="C127" s="30">
        <v>63</v>
      </c>
      <c r="D127" s="17">
        <v>260</v>
      </c>
      <c r="E127" s="6">
        <v>4.9800000000000004</v>
      </c>
      <c r="F127" s="6">
        <v>1.89</v>
      </c>
      <c r="G127" s="6">
        <v>9.81</v>
      </c>
      <c r="H127" s="6">
        <v>101.66</v>
      </c>
      <c r="I127" s="6">
        <f>71.61*260/210</f>
        <v>88.66</v>
      </c>
      <c r="J127" s="6">
        <f>18.13*260/210</f>
        <v>22.446666666666669</v>
      </c>
      <c r="K127" s="6">
        <f>1.12*260/210</f>
        <v>1.3866666666666669</v>
      </c>
      <c r="L127" s="6">
        <f>22.71*260/210</f>
        <v>28.117142857142859</v>
      </c>
      <c r="M127" s="8">
        <f>0.07*260/210</f>
        <v>8.6666666666666684E-2</v>
      </c>
      <c r="N127" s="8">
        <f>1.57*260/210</f>
        <v>1.9438095238095237</v>
      </c>
      <c r="O127" s="7">
        <f>25.42*260/210</f>
        <v>31.472380952380956</v>
      </c>
      <c r="P127" s="147"/>
      <c r="Q127" s="9"/>
      <c r="R127" s="9"/>
    </row>
    <row r="128" spans="1:18" ht="15" customHeight="1" x14ac:dyDescent="0.3">
      <c r="A128" s="90" t="s">
        <v>37</v>
      </c>
      <c r="B128" s="11">
        <v>2017</v>
      </c>
      <c r="C128" s="11" t="s">
        <v>90</v>
      </c>
      <c r="D128" s="18">
        <v>100</v>
      </c>
      <c r="E128" s="19">
        <f>9.33*100/90</f>
        <v>10.366666666666667</v>
      </c>
      <c r="F128" s="19">
        <f>14.59*100/90</f>
        <v>16.211111111111112</v>
      </c>
      <c r="G128" s="19">
        <f>9.87*100/90</f>
        <v>10.966666666666665</v>
      </c>
      <c r="H128" s="19">
        <v>228.5</v>
      </c>
      <c r="I128" s="19">
        <v>54.444444444444443</v>
      </c>
      <c r="J128" s="19">
        <v>13.777777777777779</v>
      </c>
      <c r="K128" s="19">
        <v>1.2555555555555553</v>
      </c>
      <c r="L128" s="19">
        <v>232.55555555555554</v>
      </c>
      <c r="M128" s="19">
        <v>0.1111111111111111</v>
      </c>
      <c r="N128" s="19">
        <v>0.44444444444444442</v>
      </c>
      <c r="O128" s="20">
        <v>235.96666666666667</v>
      </c>
      <c r="P128" s="147"/>
      <c r="Q128" s="9"/>
      <c r="R128" s="9"/>
    </row>
    <row r="129" spans="1:18" ht="15" customHeight="1" x14ac:dyDescent="0.3">
      <c r="A129" s="90" t="s">
        <v>38</v>
      </c>
      <c r="B129" s="11">
        <v>2017</v>
      </c>
      <c r="C129" s="11">
        <v>202</v>
      </c>
      <c r="D129" s="18">
        <v>200</v>
      </c>
      <c r="E129" s="15">
        <v>7.36</v>
      </c>
      <c r="F129" s="15">
        <v>6.0266666666666655</v>
      </c>
      <c r="G129" s="15">
        <v>35.266666666666666</v>
      </c>
      <c r="H129" s="15">
        <v>224.6</v>
      </c>
      <c r="I129" s="15">
        <v>6.48</v>
      </c>
      <c r="J129" s="15">
        <v>28.16</v>
      </c>
      <c r="K129" s="15">
        <v>1.4800000000000002</v>
      </c>
      <c r="L129" s="15">
        <v>49.56</v>
      </c>
      <c r="M129" s="15">
        <v>0.08</v>
      </c>
      <c r="N129" s="15">
        <v>0</v>
      </c>
      <c r="O129" s="16">
        <v>96.33</v>
      </c>
      <c r="P129" s="147"/>
      <c r="Q129" s="9"/>
      <c r="R129" s="9"/>
    </row>
    <row r="130" spans="1:18" ht="15" customHeight="1" x14ac:dyDescent="0.3">
      <c r="A130" s="90" t="s">
        <v>59</v>
      </c>
      <c r="B130" s="11">
        <v>2017</v>
      </c>
      <c r="C130" s="11">
        <v>49</v>
      </c>
      <c r="D130" s="11">
        <v>100</v>
      </c>
      <c r="E130" s="4">
        <v>2.5979999999999999</v>
      </c>
      <c r="F130" s="4">
        <v>6.2200000000000006</v>
      </c>
      <c r="G130" s="4">
        <v>22.149000000000001</v>
      </c>
      <c r="H130" s="4">
        <v>154.9</v>
      </c>
      <c r="I130" s="22">
        <v>7.4809999999999999</v>
      </c>
      <c r="J130" s="22">
        <v>4.2789999999999999</v>
      </c>
      <c r="K130" s="22">
        <v>0.34799999999999998</v>
      </c>
      <c r="L130" s="22">
        <v>21.45</v>
      </c>
      <c r="M130" s="22">
        <v>0.27</v>
      </c>
      <c r="N130" s="22">
        <v>6.1166666666666663</v>
      </c>
      <c r="O130" s="81">
        <v>35.616666666666667</v>
      </c>
      <c r="P130" s="147"/>
      <c r="Q130" s="9"/>
      <c r="R130" s="9"/>
    </row>
    <row r="131" spans="1:18" ht="15" customHeight="1" x14ac:dyDescent="0.3">
      <c r="A131" s="90" t="s">
        <v>14</v>
      </c>
      <c r="B131" s="11">
        <v>2017</v>
      </c>
      <c r="C131" s="11">
        <v>376</v>
      </c>
      <c r="D131" s="12">
        <v>200</v>
      </c>
      <c r="E131" s="4">
        <v>0.2</v>
      </c>
      <c r="F131" s="4">
        <v>0</v>
      </c>
      <c r="G131" s="4">
        <v>14</v>
      </c>
      <c r="H131" s="4">
        <v>28</v>
      </c>
      <c r="I131" s="4">
        <v>6</v>
      </c>
      <c r="J131" s="4">
        <v>0</v>
      </c>
      <c r="K131" s="4">
        <v>0.4</v>
      </c>
      <c r="L131" s="4">
        <v>0</v>
      </c>
      <c r="M131" s="4">
        <v>0</v>
      </c>
      <c r="N131" s="4">
        <v>0</v>
      </c>
      <c r="O131" s="4">
        <v>0</v>
      </c>
      <c r="P131" s="147"/>
      <c r="Q131" s="9"/>
      <c r="R131" s="9"/>
    </row>
    <row r="132" spans="1:18" ht="15" customHeight="1" x14ac:dyDescent="0.3">
      <c r="A132" s="13" t="s">
        <v>21</v>
      </c>
      <c r="B132" s="10" t="s">
        <v>78</v>
      </c>
      <c r="C132" s="10" t="s">
        <v>78</v>
      </c>
      <c r="D132" s="24">
        <v>20</v>
      </c>
      <c r="E132" s="4">
        <v>1.58</v>
      </c>
      <c r="F132" s="4">
        <v>0.2</v>
      </c>
      <c r="G132" s="4">
        <v>9.66</v>
      </c>
      <c r="H132" s="4">
        <v>46.76</v>
      </c>
      <c r="I132" s="4">
        <v>4.5999999999999996</v>
      </c>
      <c r="J132" s="4">
        <v>6.6</v>
      </c>
      <c r="K132" s="4">
        <v>0.22</v>
      </c>
      <c r="L132" s="4">
        <v>17.399999999999999</v>
      </c>
      <c r="M132" s="4">
        <v>0.08</v>
      </c>
      <c r="N132" s="4">
        <v>0</v>
      </c>
      <c r="O132" s="5">
        <v>0</v>
      </c>
      <c r="P132" s="147"/>
      <c r="Q132" s="9"/>
      <c r="R132" s="9"/>
    </row>
    <row r="133" spans="1:18" ht="15" customHeight="1" x14ac:dyDescent="0.3">
      <c r="A133" s="13" t="s">
        <v>22</v>
      </c>
      <c r="B133" s="10" t="s">
        <v>78</v>
      </c>
      <c r="C133" s="10" t="s">
        <v>78</v>
      </c>
      <c r="D133" s="10">
        <v>40</v>
      </c>
      <c r="E133" s="4">
        <v>2.2400000000000002</v>
      </c>
      <c r="F133" s="4">
        <v>0.44</v>
      </c>
      <c r="G133" s="4">
        <v>19.760000000000002</v>
      </c>
      <c r="H133" s="4">
        <v>91.96</v>
      </c>
      <c r="I133" s="4">
        <v>9.1999999999999993</v>
      </c>
      <c r="J133" s="4">
        <v>10</v>
      </c>
      <c r="K133" s="4">
        <v>1.24</v>
      </c>
      <c r="L133" s="4">
        <v>42.4</v>
      </c>
      <c r="M133" s="4">
        <v>0.04</v>
      </c>
      <c r="N133" s="4">
        <v>0</v>
      </c>
      <c r="O133" s="5">
        <v>0</v>
      </c>
      <c r="P133" s="147"/>
      <c r="Q133" s="9"/>
      <c r="R133" s="9"/>
    </row>
    <row r="134" spans="1:18" ht="15" customHeight="1" x14ac:dyDescent="0.3">
      <c r="A134" s="123" t="s">
        <v>16</v>
      </c>
      <c r="B134" s="26"/>
      <c r="C134" s="26"/>
      <c r="D134" s="11">
        <f t="shared" ref="D134:O134" si="18">SUM(D127:D133)</f>
        <v>920</v>
      </c>
      <c r="E134" s="4">
        <f>SUM(E127:E133)</f>
        <v>29.324666666666666</v>
      </c>
      <c r="F134" s="4">
        <f>SUM(F127:F133)</f>
        <v>30.987777777777779</v>
      </c>
      <c r="G134" s="4">
        <f>SUM(G127:G133)</f>
        <v>121.61233333333332</v>
      </c>
      <c r="H134" s="4">
        <f>SUM(H127:H133)</f>
        <v>876.38</v>
      </c>
      <c r="I134" s="4">
        <f t="shared" si="18"/>
        <v>176.86544444444439</v>
      </c>
      <c r="J134" s="4">
        <f t="shared" si="18"/>
        <v>85.263444444444431</v>
      </c>
      <c r="K134" s="4">
        <f t="shared" si="18"/>
        <v>6.3302222222222229</v>
      </c>
      <c r="L134" s="4">
        <f t="shared" si="18"/>
        <v>391.48269841269837</v>
      </c>
      <c r="M134" s="4">
        <f t="shared" si="18"/>
        <v>0.6677777777777778</v>
      </c>
      <c r="N134" s="4">
        <f t="shared" si="18"/>
        <v>8.5049206349206337</v>
      </c>
      <c r="O134" s="5">
        <f t="shared" si="18"/>
        <v>399.3857142857143</v>
      </c>
      <c r="P134" s="147"/>
      <c r="Q134" s="9"/>
      <c r="R134" s="9"/>
    </row>
    <row r="135" spans="1:18" s="62" customFormat="1" ht="15" customHeight="1" x14ac:dyDescent="0.3">
      <c r="A135" s="94" t="s">
        <v>24</v>
      </c>
      <c r="B135" s="102"/>
      <c r="C135" s="102"/>
      <c r="D135" s="121">
        <v>1470</v>
      </c>
      <c r="E135" s="95">
        <f>E134+E125</f>
        <v>49.249666666666663</v>
      </c>
      <c r="F135" s="95">
        <f>F134+F125</f>
        <v>51.451111111111118</v>
      </c>
      <c r="G135" s="95">
        <f>G134+G125</f>
        <v>209.95066666666668</v>
      </c>
      <c r="H135" s="95">
        <f>H134+H125</f>
        <v>1480.92</v>
      </c>
      <c r="I135" s="95">
        <f t="shared" ref="I135:O135" si="19">I134+I125</f>
        <v>621.30877777777766</v>
      </c>
      <c r="J135" s="95">
        <f t="shared" si="19"/>
        <v>148.86677777777777</v>
      </c>
      <c r="K135" s="95">
        <f t="shared" si="19"/>
        <v>8.7452222222222229</v>
      </c>
      <c r="L135" s="95">
        <f t="shared" si="19"/>
        <v>664.65436507936511</v>
      </c>
      <c r="M135" s="95">
        <f t="shared" si="19"/>
        <v>0.9127777777777778</v>
      </c>
      <c r="N135" s="95">
        <f t="shared" si="19"/>
        <v>38.248253968253962</v>
      </c>
      <c r="O135" s="120">
        <f t="shared" si="19"/>
        <v>468.05378095238098</v>
      </c>
      <c r="P135" s="147"/>
      <c r="Q135" s="61"/>
      <c r="R135" s="61"/>
    </row>
    <row r="136" spans="1:18" s="62" customFormat="1" ht="13.2" customHeight="1" x14ac:dyDescent="0.3">
      <c r="A136" s="167" t="s">
        <v>70</v>
      </c>
      <c r="B136" s="168"/>
      <c r="C136" s="168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96"/>
      <c r="Q136" s="61"/>
      <c r="R136" s="61"/>
    </row>
    <row r="137" spans="1:18" s="62" customFormat="1" ht="13.2" customHeight="1" x14ac:dyDescent="0.3">
      <c r="A137" s="169" t="s">
        <v>88</v>
      </c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5"/>
      <c r="P137" s="147" t="s">
        <v>70</v>
      </c>
      <c r="Q137" s="61"/>
      <c r="R137" s="61"/>
    </row>
    <row r="138" spans="1:18" ht="13.2" customHeight="1" x14ac:dyDescent="0.3">
      <c r="A138" s="13" t="s">
        <v>66</v>
      </c>
      <c r="B138" s="24">
        <v>2017</v>
      </c>
      <c r="C138" s="24">
        <v>174</v>
      </c>
      <c r="D138" s="12">
        <v>210</v>
      </c>
      <c r="E138" s="4">
        <f>10.46*250/200</f>
        <v>13.074999999999999</v>
      </c>
      <c r="F138" s="4">
        <f>15.3*250/200</f>
        <v>19.125</v>
      </c>
      <c r="G138" s="4">
        <f>23.02*250/200</f>
        <v>28.774999999999999</v>
      </c>
      <c r="H138" s="4">
        <v>332.3</v>
      </c>
      <c r="I138" s="4">
        <v>241.42857142857142</v>
      </c>
      <c r="J138" s="4">
        <v>53.312380952380956</v>
      </c>
      <c r="K138" s="4">
        <v>0.58190476190476181</v>
      </c>
      <c r="L138" s="4">
        <v>82.952380952380949</v>
      </c>
      <c r="M138" s="4">
        <v>3.7142857142857144E-2</v>
      </c>
      <c r="N138" s="4">
        <v>0</v>
      </c>
      <c r="O138" s="4">
        <v>28.228571428571428</v>
      </c>
      <c r="P138" s="147"/>
      <c r="Q138" s="9"/>
      <c r="R138" s="9"/>
    </row>
    <row r="139" spans="1:18" ht="13.2" customHeight="1" x14ac:dyDescent="0.3">
      <c r="A139" s="29" t="s">
        <v>26</v>
      </c>
      <c r="B139" s="26">
        <v>2017</v>
      </c>
      <c r="C139" s="26">
        <v>377</v>
      </c>
      <c r="D139" s="12">
        <v>200</v>
      </c>
      <c r="E139" s="4">
        <v>0.13</v>
      </c>
      <c r="F139" s="4">
        <v>0.02</v>
      </c>
      <c r="G139" s="4">
        <v>10.25</v>
      </c>
      <c r="H139" s="4">
        <v>41.68</v>
      </c>
      <c r="I139" s="4">
        <v>14.05</v>
      </c>
      <c r="J139" s="4">
        <v>2.4</v>
      </c>
      <c r="K139" s="4">
        <v>0.38</v>
      </c>
      <c r="L139" s="4">
        <v>4.4000000000000004</v>
      </c>
      <c r="M139" s="4">
        <v>0</v>
      </c>
      <c r="N139" s="4">
        <v>2.83</v>
      </c>
      <c r="O139" s="5">
        <v>0</v>
      </c>
      <c r="P139" s="147"/>
      <c r="Q139" s="9"/>
      <c r="R139" s="9"/>
    </row>
    <row r="140" spans="1:18" ht="13.2" customHeight="1" x14ac:dyDescent="0.3">
      <c r="A140" s="23" t="s">
        <v>29</v>
      </c>
      <c r="B140" s="24" t="s">
        <v>78</v>
      </c>
      <c r="C140" s="24" t="s">
        <v>78</v>
      </c>
      <c r="D140" s="24">
        <v>30</v>
      </c>
      <c r="E140" s="11">
        <v>0.15</v>
      </c>
      <c r="F140" s="11">
        <v>0</v>
      </c>
      <c r="G140" s="11">
        <v>21.48</v>
      </c>
      <c r="H140" s="11">
        <v>86.52000000000001</v>
      </c>
      <c r="I140" s="11">
        <v>3.6</v>
      </c>
      <c r="J140" s="11">
        <v>2.7</v>
      </c>
      <c r="K140" s="11">
        <v>0.12</v>
      </c>
      <c r="L140" s="11">
        <v>5.4</v>
      </c>
      <c r="M140" s="11">
        <v>0</v>
      </c>
      <c r="N140" s="11">
        <v>0.72</v>
      </c>
      <c r="O140" s="14">
        <v>0</v>
      </c>
      <c r="P140" s="147"/>
      <c r="Q140" s="9"/>
      <c r="R140" s="9"/>
    </row>
    <row r="141" spans="1:18" ht="13.2" customHeight="1" x14ac:dyDescent="0.3">
      <c r="A141" s="90" t="s">
        <v>13</v>
      </c>
      <c r="B141" s="11" t="s">
        <v>78</v>
      </c>
      <c r="C141" s="11" t="s">
        <v>78</v>
      </c>
      <c r="D141" s="12">
        <v>60</v>
      </c>
      <c r="E141" s="4">
        <v>4.74</v>
      </c>
      <c r="F141" s="4">
        <v>0.6</v>
      </c>
      <c r="G141" s="4">
        <v>28.98</v>
      </c>
      <c r="H141" s="4">
        <v>140.28</v>
      </c>
      <c r="I141" s="4">
        <v>13.8</v>
      </c>
      <c r="J141" s="4">
        <v>19.8</v>
      </c>
      <c r="K141" s="4">
        <v>0.66</v>
      </c>
      <c r="L141" s="4">
        <v>52.2</v>
      </c>
      <c r="M141" s="4">
        <v>0.1</v>
      </c>
      <c r="N141" s="4">
        <v>0</v>
      </c>
      <c r="O141" s="5">
        <v>0</v>
      </c>
      <c r="P141" s="147"/>
      <c r="Q141" s="9"/>
      <c r="R141" s="9"/>
    </row>
    <row r="142" spans="1:18" ht="14.4" customHeight="1" x14ac:dyDescent="0.3">
      <c r="A142" s="123" t="s">
        <v>16</v>
      </c>
      <c r="B142" s="26"/>
      <c r="C142" s="26"/>
      <c r="D142" s="11">
        <v>550</v>
      </c>
      <c r="E142" s="4">
        <f t="shared" ref="E142:L142" si="20">SUM(E138:E141)</f>
        <v>18.094999999999999</v>
      </c>
      <c r="F142" s="4">
        <f t="shared" si="20"/>
        <v>19.745000000000001</v>
      </c>
      <c r="G142" s="4">
        <f t="shared" si="20"/>
        <v>89.484999999999999</v>
      </c>
      <c r="H142" s="4">
        <f t="shared" si="20"/>
        <v>600.78</v>
      </c>
      <c r="I142" s="4">
        <f t="shared" si="20"/>
        <v>272.87857142857143</v>
      </c>
      <c r="J142" s="4">
        <f t="shared" si="20"/>
        <v>78.212380952380954</v>
      </c>
      <c r="K142" s="4">
        <f t="shared" si="20"/>
        <v>1.7419047619047618</v>
      </c>
      <c r="L142" s="4">
        <f t="shared" si="20"/>
        <v>144.95238095238096</v>
      </c>
      <c r="M142" s="4">
        <v>0.13714285714285715</v>
      </c>
      <c r="N142" s="4">
        <f>SUM(N138:N141)</f>
        <v>3.55</v>
      </c>
      <c r="O142" s="4">
        <v>28.228571428571428</v>
      </c>
      <c r="P142" s="147"/>
      <c r="Q142" s="9"/>
      <c r="R142" s="9"/>
    </row>
    <row r="143" spans="1:18" ht="13.2" customHeight="1" x14ac:dyDescent="0.3">
      <c r="A143" s="159" t="s">
        <v>89</v>
      </c>
      <c r="B143" s="159"/>
      <c r="C143" s="159"/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60"/>
      <c r="P143" s="147"/>
      <c r="Q143" s="9"/>
      <c r="R143" s="9"/>
    </row>
    <row r="144" spans="1:18" ht="13.2" customHeight="1" x14ac:dyDescent="0.3">
      <c r="A144" s="27" t="s">
        <v>67</v>
      </c>
      <c r="B144" s="24">
        <v>2017</v>
      </c>
      <c r="C144" s="24">
        <v>97</v>
      </c>
      <c r="D144" s="85">
        <v>250</v>
      </c>
      <c r="E144" s="21">
        <v>2.3374999999999999</v>
      </c>
      <c r="F144" s="21">
        <v>2.8250000000000002</v>
      </c>
      <c r="G144" s="21">
        <v>16.637499999999999</v>
      </c>
      <c r="H144" s="21">
        <v>101.25</v>
      </c>
      <c r="I144" s="21">
        <v>25.85</v>
      </c>
      <c r="J144" s="21">
        <v>31.125</v>
      </c>
      <c r="K144" s="86">
        <v>1.175</v>
      </c>
      <c r="L144" s="11">
        <v>76.8</v>
      </c>
      <c r="M144" s="21">
        <v>0.11</v>
      </c>
      <c r="N144" s="21">
        <v>2</v>
      </c>
      <c r="O144" s="21">
        <v>0</v>
      </c>
      <c r="P144" s="147"/>
      <c r="Q144" s="9"/>
      <c r="R144" s="9"/>
    </row>
    <row r="145" spans="1:18" ht="13.2" customHeight="1" x14ac:dyDescent="0.3">
      <c r="A145" s="27" t="s">
        <v>68</v>
      </c>
      <c r="B145" s="24">
        <v>2017</v>
      </c>
      <c r="C145" s="10">
        <v>226</v>
      </c>
      <c r="D145" s="87">
        <v>20</v>
      </c>
      <c r="E145" s="8">
        <v>3.5079999999999996</v>
      </c>
      <c r="F145" s="8">
        <v>0.47599999999999992</v>
      </c>
      <c r="G145" s="8">
        <v>6.2E-2</v>
      </c>
      <c r="H145" s="8">
        <v>18.5</v>
      </c>
      <c r="I145" s="8">
        <v>3.3759999999999994</v>
      </c>
      <c r="J145" s="8">
        <v>2.6</v>
      </c>
      <c r="K145" s="11">
        <v>0.14000000000000001</v>
      </c>
      <c r="L145" s="8">
        <v>34.4</v>
      </c>
      <c r="M145" s="8">
        <v>1.7999999999999999E-2</v>
      </c>
      <c r="N145" s="8">
        <v>7.0000000000000007E-2</v>
      </c>
      <c r="O145" s="8">
        <v>1.71</v>
      </c>
      <c r="P145" s="147"/>
      <c r="Q145" s="9"/>
      <c r="R145" s="9"/>
    </row>
    <row r="146" spans="1:18" ht="13.2" customHeight="1" x14ac:dyDescent="0.3">
      <c r="A146" s="27" t="s">
        <v>72</v>
      </c>
      <c r="B146" s="24">
        <v>2017</v>
      </c>
      <c r="C146" s="24">
        <v>290</v>
      </c>
      <c r="D146" s="28">
        <v>100</v>
      </c>
      <c r="E146" s="4">
        <v>11.84</v>
      </c>
      <c r="F146" s="4">
        <f>12.12*100/90</f>
        <v>13.466666666666667</v>
      </c>
      <c r="G146" s="4">
        <f>5.369*100/90</f>
        <v>5.9655555555555555</v>
      </c>
      <c r="H146" s="4">
        <v>189.5</v>
      </c>
      <c r="I146" s="4">
        <v>43.222222222222221</v>
      </c>
      <c r="J146" s="4">
        <v>14.888888888888889</v>
      </c>
      <c r="K146" s="4">
        <v>1.0111111111111111</v>
      </c>
      <c r="L146" s="4">
        <v>15.111111111111111</v>
      </c>
      <c r="M146" s="4">
        <v>5.5555555555555552E-2</v>
      </c>
      <c r="N146" s="4">
        <v>1.6</v>
      </c>
      <c r="O146" s="5">
        <v>244.33333333333334</v>
      </c>
      <c r="P146" s="147"/>
      <c r="Q146" s="9"/>
      <c r="R146" s="9"/>
    </row>
    <row r="147" spans="1:18" ht="13.2" customHeight="1" x14ac:dyDescent="0.3">
      <c r="A147" s="27" t="s">
        <v>45</v>
      </c>
      <c r="B147" s="11">
        <v>2017</v>
      </c>
      <c r="C147" s="11">
        <v>312</v>
      </c>
      <c r="D147" s="85">
        <v>200</v>
      </c>
      <c r="E147" s="4">
        <v>4.08</v>
      </c>
      <c r="F147" s="4">
        <v>6.4</v>
      </c>
      <c r="G147" s="4">
        <v>27.266666666666666</v>
      </c>
      <c r="H147" s="4">
        <v>183</v>
      </c>
      <c r="I147" s="4">
        <v>49.306666666666658</v>
      </c>
      <c r="J147" s="4">
        <v>37</v>
      </c>
      <c r="K147" s="4">
        <v>1.3466666666666667</v>
      </c>
      <c r="L147" s="4">
        <v>75.466666666666669</v>
      </c>
      <c r="M147" s="4">
        <v>0.14000000000000001</v>
      </c>
      <c r="N147" s="4">
        <v>12.493333333333332</v>
      </c>
      <c r="O147" s="5">
        <v>34</v>
      </c>
      <c r="P147" s="147"/>
      <c r="Q147" s="9"/>
      <c r="R147" s="9"/>
    </row>
    <row r="148" spans="1:18" ht="13.2" customHeight="1" x14ac:dyDescent="0.3">
      <c r="A148" s="27" t="s">
        <v>52</v>
      </c>
      <c r="B148" s="11">
        <v>2017</v>
      </c>
      <c r="C148" s="11">
        <v>52</v>
      </c>
      <c r="D148" s="85">
        <v>100</v>
      </c>
      <c r="E148" s="4">
        <v>1.4333333333333333</v>
      </c>
      <c r="F148" s="4">
        <v>6.083333333333333</v>
      </c>
      <c r="G148" s="4">
        <v>8.3666666666666654</v>
      </c>
      <c r="H148" s="4">
        <v>93.9</v>
      </c>
      <c r="I148" s="4">
        <v>35.15</v>
      </c>
      <c r="J148" s="4">
        <v>20.9</v>
      </c>
      <c r="K148" s="4">
        <v>1.3333333333333333</v>
      </c>
      <c r="L148" s="83">
        <v>40.966666666666669</v>
      </c>
      <c r="M148" s="4">
        <v>1.6666666666666666E-2</v>
      </c>
      <c r="N148" s="4">
        <v>3.42</v>
      </c>
      <c r="O148" s="14">
        <v>0</v>
      </c>
      <c r="P148" s="147"/>
      <c r="Q148" s="9"/>
      <c r="R148" s="9"/>
    </row>
    <row r="149" spans="1:18" ht="13.2" customHeight="1" x14ac:dyDescent="0.3">
      <c r="A149" s="27" t="s">
        <v>69</v>
      </c>
      <c r="B149" s="10">
        <v>2008</v>
      </c>
      <c r="C149" s="10">
        <v>436</v>
      </c>
      <c r="D149" s="85">
        <v>200</v>
      </c>
      <c r="E149" s="11">
        <v>0.18</v>
      </c>
      <c r="F149" s="11">
        <v>0.02</v>
      </c>
      <c r="G149" s="11">
        <v>27.46</v>
      </c>
      <c r="H149" s="11">
        <v>94.58</v>
      </c>
      <c r="I149" s="11">
        <v>16.3</v>
      </c>
      <c r="J149" s="11">
        <v>4.0999999999999996</v>
      </c>
      <c r="K149" s="11">
        <v>0.18</v>
      </c>
      <c r="L149" s="11">
        <v>4.4000000000000004</v>
      </c>
      <c r="M149" s="11">
        <v>0.03</v>
      </c>
      <c r="N149" s="11">
        <v>25.5</v>
      </c>
      <c r="O149" s="11">
        <v>0.1</v>
      </c>
      <c r="P149" s="147"/>
      <c r="Q149" s="9"/>
      <c r="R149" s="9"/>
    </row>
    <row r="150" spans="1:18" ht="13.2" customHeight="1" x14ac:dyDescent="0.3">
      <c r="A150" s="82" t="s">
        <v>21</v>
      </c>
      <c r="B150" s="24" t="s">
        <v>78</v>
      </c>
      <c r="C150" s="24" t="s">
        <v>78</v>
      </c>
      <c r="D150" s="79">
        <v>20</v>
      </c>
      <c r="E150" s="4">
        <v>1.58</v>
      </c>
      <c r="F150" s="4">
        <v>0.2</v>
      </c>
      <c r="G150" s="4">
        <v>9.66</v>
      </c>
      <c r="H150" s="4">
        <v>46.76</v>
      </c>
      <c r="I150" s="4">
        <v>4.5999999999999996</v>
      </c>
      <c r="J150" s="4">
        <v>6.6</v>
      </c>
      <c r="K150" s="4">
        <v>0.22</v>
      </c>
      <c r="L150" s="4">
        <v>17.399999999999999</v>
      </c>
      <c r="M150" s="4">
        <v>0.08</v>
      </c>
      <c r="N150" s="4">
        <v>0</v>
      </c>
      <c r="O150" s="5">
        <v>0</v>
      </c>
      <c r="P150" s="147"/>
      <c r="Q150" s="9"/>
      <c r="R150" s="9"/>
    </row>
    <row r="151" spans="1:18" ht="13.2" customHeight="1" x14ac:dyDescent="0.3">
      <c r="A151" s="82" t="s">
        <v>22</v>
      </c>
      <c r="B151" s="11" t="s">
        <v>78</v>
      </c>
      <c r="C151" s="11" t="s">
        <v>78</v>
      </c>
      <c r="D151" s="80">
        <v>40</v>
      </c>
      <c r="E151" s="4">
        <v>2.2400000000000002</v>
      </c>
      <c r="F151" s="4">
        <v>0.44</v>
      </c>
      <c r="G151" s="4">
        <v>19.760000000000002</v>
      </c>
      <c r="H151" s="4">
        <v>91.96</v>
      </c>
      <c r="I151" s="4">
        <v>9.1999999999999993</v>
      </c>
      <c r="J151" s="4">
        <v>10</v>
      </c>
      <c r="K151" s="4">
        <v>1.24</v>
      </c>
      <c r="L151" s="4">
        <v>42.4</v>
      </c>
      <c r="M151" s="4">
        <v>0.04</v>
      </c>
      <c r="N151" s="4">
        <v>0</v>
      </c>
      <c r="O151" s="5">
        <v>0</v>
      </c>
      <c r="P151" s="147"/>
      <c r="Q151" s="9"/>
      <c r="R151" s="9"/>
    </row>
    <row r="152" spans="1:18" ht="12" customHeight="1" x14ac:dyDescent="0.3">
      <c r="A152" s="123" t="s">
        <v>16</v>
      </c>
      <c r="B152" s="26"/>
      <c r="C152" s="26"/>
      <c r="D152" s="11">
        <v>930</v>
      </c>
      <c r="E152" s="4">
        <f>SUM(E144:E151)</f>
        <v>27.198833333333333</v>
      </c>
      <c r="F152" s="4">
        <f>SUM(F144:F151)</f>
        <v>29.911000000000001</v>
      </c>
      <c r="G152" s="4">
        <f>SUM(G144:G151)</f>
        <v>115.17838888888889</v>
      </c>
      <c r="H152" s="4">
        <f>SUM(H144:H151)</f>
        <v>819.45</v>
      </c>
      <c r="I152" s="4">
        <v>187.00488888888887</v>
      </c>
      <c r="J152" s="4">
        <v>127.21388888888887</v>
      </c>
      <c r="K152" s="4">
        <v>6.6461111111111109</v>
      </c>
      <c r="L152" s="4">
        <v>306.9444444444444</v>
      </c>
      <c r="M152" s="4">
        <f>SUM(M144:M151)</f>
        <v>0.49022222222222223</v>
      </c>
      <c r="N152" s="4">
        <f>SUM(N144:N151)</f>
        <v>45.083333333333336</v>
      </c>
      <c r="O152" s="4">
        <f>SUM(O144:O151)</f>
        <v>280.14333333333337</v>
      </c>
      <c r="P152" s="147"/>
      <c r="Q152" s="9"/>
      <c r="R152" s="9"/>
    </row>
    <row r="153" spans="1:18" s="62" customFormat="1" ht="12" customHeight="1" x14ac:dyDescent="0.3">
      <c r="A153" s="94" t="s">
        <v>24</v>
      </c>
      <c r="B153" s="102"/>
      <c r="C153" s="102"/>
      <c r="D153" s="121">
        <v>1480</v>
      </c>
      <c r="E153" s="95">
        <f>27.2+E142</f>
        <v>45.295000000000002</v>
      </c>
      <c r="F153" s="95">
        <f>29.91+F142</f>
        <v>49.655000000000001</v>
      </c>
      <c r="G153" s="95">
        <f>115.18+G142</f>
        <v>204.66500000000002</v>
      </c>
      <c r="H153" s="95">
        <f>819.45+H142</f>
        <v>1420.23</v>
      </c>
      <c r="I153" s="95">
        <f>187+I142</f>
        <v>459.87857142857143</v>
      </c>
      <c r="J153" s="95">
        <f>127.3+J142</f>
        <v>205.51238095238097</v>
      </c>
      <c r="K153" s="95">
        <f>6.65+K142</f>
        <v>8.3919047619047618</v>
      </c>
      <c r="L153" s="95">
        <f>306.94+L142</f>
        <v>451.89238095238096</v>
      </c>
      <c r="M153" s="95">
        <f>M152+M142</f>
        <v>0.62736507936507935</v>
      </c>
      <c r="N153" s="95">
        <v>48.633333333333333</v>
      </c>
      <c r="O153" s="95">
        <v>308.37190476190483</v>
      </c>
      <c r="P153" s="147"/>
      <c r="Q153" s="61"/>
      <c r="R153" s="61"/>
    </row>
    <row r="154" spans="1:18" s="62" customFormat="1" x14ac:dyDescent="0.3">
      <c r="A154" s="167" t="s">
        <v>73</v>
      </c>
      <c r="B154" s="167"/>
      <c r="C154" s="167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96"/>
      <c r="Q154" s="61"/>
      <c r="R154" s="61"/>
    </row>
    <row r="155" spans="1:18" s="62" customFormat="1" x14ac:dyDescent="0.3">
      <c r="A155" s="174" t="s">
        <v>88</v>
      </c>
      <c r="B155" s="159"/>
      <c r="C155" s="159"/>
      <c r="D155" s="159"/>
      <c r="E155" s="159"/>
      <c r="F155" s="159"/>
      <c r="G155" s="159"/>
      <c r="H155" s="159"/>
      <c r="I155" s="159"/>
      <c r="J155" s="159"/>
      <c r="K155" s="159"/>
      <c r="L155" s="159"/>
      <c r="M155" s="159"/>
      <c r="N155" s="159"/>
      <c r="O155" s="160"/>
      <c r="P155" s="147" t="s">
        <v>73</v>
      </c>
      <c r="Q155" s="61"/>
      <c r="R155" s="61"/>
    </row>
    <row r="156" spans="1:18" ht="26.4" customHeight="1" x14ac:dyDescent="0.3">
      <c r="A156" s="82" t="s">
        <v>0</v>
      </c>
      <c r="B156" s="24">
        <v>2017</v>
      </c>
      <c r="C156" s="24">
        <v>173</v>
      </c>
      <c r="D156" s="28">
        <v>260</v>
      </c>
      <c r="E156" s="4">
        <v>10.29</v>
      </c>
      <c r="F156" s="4">
        <v>14.18</v>
      </c>
      <c r="G156" s="4">
        <v>27.39</v>
      </c>
      <c r="H156" s="4">
        <v>271.49</v>
      </c>
      <c r="I156" s="4">
        <v>196.42380952380952</v>
      </c>
      <c r="J156" s="4">
        <v>89.204761904761909</v>
      </c>
      <c r="K156" s="4">
        <v>1.7457142857142856</v>
      </c>
      <c r="L156" s="4">
        <v>82.172380952380962</v>
      </c>
      <c r="M156" s="4">
        <v>0.26</v>
      </c>
      <c r="N156" s="4">
        <v>0.65619047619047621</v>
      </c>
      <c r="O156" s="4">
        <v>21.877142857142861</v>
      </c>
      <c r="P156" s="147"/>
      <c r="Q156" s="9"/>
      <c r="R156" s="9"/>
    </row>
    <row r="157" spans="1:18" x14ac:dyDescent="0.3">
      <c r="A157" s="90" t="s">
        <v>12</v>
      </c>
      <c r="B157" s="24">
        <v>2017</v>
      </c>
      <c r="C157" s="24">
        <v>15</v>
      </c>
      <c r="D157" s="12">
        <v>15</v>
      </c>
      <c r="E157" s="4">
        <v>3.48</v>
      </c>
      <c r="F157" s="4">
        <v>4.43</v>
      </c>
      <c r="G157" s="4">
        <v>0</v>
      </c>
      <c r="H157" s="4">
        <v>54.6</v>
      </c>
      <c r="I157" s="4">
        <v>132</v>
      </c>
      <c r="J157" s="4">
        <v>5.25</v>
      </c>
      <c r="K157" s="4">
        <v>0.15</v>
      </c>
      <c r="L157" s="4">
        <v>75</v>
      </c>
      <c r="M157" s="4">
        <v>0.01</v>
      </c>
      <c r="N157" s="4">
        <v>0.11</v>
      </c>
      <c r="O157" s="5">
        <v>39</v>
      </c>
      <c r="P157" s="147"/>
      <c r="Q157" s="9"/>
      <c r="R157" s="9"/>
    </row>
    <row r="158" spans="1:18" x14ac:dyDescent="0.3">
      <c r="A158" s="90" t="s">
        <v>13</v>
      </c>
      <c r="B158" s="24" t="s">
        <v>78</v>
      </c>
      <c r="C158" s="24" t="s">
        <v>78</v>
      </c>
      <c r="D158" s="12">
        <v>60</v>
      </c>
      <c r="E158" s="4">
        <v>4.74</v>
      </c>
      <c r="F158" s="4">
        <v>0.6</v>
      </c>
      <c r="G158" s="4">
        <v>28.98</v>
      </c>
      <c r="H158" s="4">
        <v>140.28</v>
      </c>
      <c r="I158" s="4">
        <v>13.8</v>
      </c>
      <c r="J158" s="4">
        <v>19.8</v>
      </c>
      <c r="K158" s="4">
        <v>0.66</v>
      </c>
      <c r="L158" s="4">
        <v>52.2</v>
      </c>
      <c r="M158" s="4">
        <v>0.1</v>
      </c>
      <c r="N158" s="4">
        <v>0</v>
      </c>
      <c r="O158" s="5">
        <v>0</v>
      </c>
      <c r="P158" s="147"/>
      <c r="Q158" s="9"/>
      <c r="R158" s="9"/>
    </row>
    <row r="159" spans="1:18" x14ac:dyDescent="0.3">
      <c r="A159" s="35" t="s">
        <v>42</v>
      </c>
      <c r="B159" s="41" t="s">
        <v>78</v>
      </c>
      <c r="C159" s="41" t="s">
        <v>78</v>
      </c>
      <c r="D159" s="44">
        <v>20</v>
      </c>
      <c r="E159" s="34">
        <v>0.38</v>
      </c>
      <c r="F159" s="34">
        <v>1.08</v>
      </c>
      <c r="G159" s="34">
        <v>6.41</v>
      </c>
      <c r="H159" s="34">
        <v>35.270000000000003</v>
      </c>
      <c r="I159" s="34">
        <v>8.1999999999999993</v>
      </c>
      <c r="J159" s="34">
        <v>3</v>
      </c>
      <c r="K159" s="34">
        <v>0.2</v>
      </c>
      <c r="L159" s="34">
        <v>17.399999999999999</v>
      </c>
      <c r="M159" s="34">
        <v>0.02</v>
      </c>
      <c r="N159" s="34">
        <v>0</v>
      </c>
      <c r="O159" s="36">
        <v>14.82</v>
      </c>
      <c r="P159" s="147"/>
      <c r="Q159" s="9"/>
      <c r="R159" s="9"/>
    </row>
    <row r="160" spans="1:18" s="1" customFormat="1" ht="14.4" customHeight="1" x14ac:dyDescent="0.3">
      <c r="A160" s="13" t="s">
        <v>27</v>
      </c>
      <c r="B160" s="11">
        <v>2017</v>
      </c>
      <c r="C160" s="11">
        <v>379</v>
      </c>
      <c r="D160" s="12">
        <v>200</v>
      </c>
      <c r="E160" s="11">
        <v>3.6</v>
      </c>
      <c r="F160" s="11">
        <v>2.67</v>
      </c>
      <c r="G160" s="11">
        <v>29.2</v>
      </c>
      <c r="H160" s="11">
        <v>155.19999999999999</v>
      </c>
      <c r="I160" s="11">
        <v>158.66999999999999</v>
      </c>
      <c r="J160" s="11">
        <v>16.8</v>
      </c>
      <c r="K160" s="11">
        <v>0.22</v>
      </c>
      <c r="L160" s="11">
        <v>82.4</v>
      </c>
      <c r="M160" s="11">
        <v>7.0000000000000007E-2</v>
      </c>
      <c r="N160" s="11">
        <v>1.17</v>
      </c>
      <c r="O160" s="14">
        <v>6.84</v>
      </c>
      <c r="P160" s="147"/>
      <c r="Q160" s="3"/>
      <c r="R160" s="3"/>
    </row>
    <row r="161" spans="1:18" x14ac:dyDescent="0.3">
      <c r="A161" s="123" t="s">
        <v>16</v>
      </c>
      <c r="B161" s="26"/>
      <c r="C161" s="26"/>
      <c r="D161" s="4">
        <v>555</v>
      </c>
      <c r="E161" s="4">
        <f>SUM(E156:E160)</f>
        <v>22.49</v>
      </c>
      <c r="F161" s="4">
        <f>SUM(F156:F160)</f>
        <v>22.96</v>
      </c>
      <c r="G161" s="4">
        <f>SUM(G156:G160)</f>
        <v>91.98</v>
      </c>
      <c r="H161" s="4">
        <f>SUM(H156:H160)</f>
        <v>656.83999999999992</v>
      </c>
      <c r="I161" s="4">
        <v>509.09380952380945</v>
      </c>
      <c r="J161" s="4">
        <v>134.0547619047619</v>
      </c>
      <c r="K161" s="4">
        <v>3.8176190476190479</v>
      </c>
      <c r="L161" s="4">
        <v>309.17238095238099</v>
      </c>
      <c r="M161" s="4">
        <v>0.44761904761904764</v>
      </c>
      <c r="N161" s="4">
        <f>SUM(N156:N160)</f>
        <v>1.9361904761904762</v>
      </c>
      <c r="O161" s="5">
        <f>SUM(O156:O160)</f>
        <v>82.537142857142868</v>
      </c>
      <c r="P161" s="147"/>
      <c r="Q161" s="9"/>
      <c r="R161" s="9"/>
    </row>
    <row r="162" spans="1:18" s="1" customFormat="1" x14ac:dyDescent="0.3">
      <c r="A162" s="159" t="s">
        <v>89</v>
      </c>
      <c r="B162" s="159"/>
      <c r="C162" s="159"/>
      <c r="D162" s="159"/>
      <c r="E162" s="159"/>
      <c r="F162" s="159"/>
      <c r="G162" s="159"/>
      <c r="H162" s="159"/>
      <c r="I162" s="159"/>
      <c r="J162" s="159"/>
      <c r="K162" s="159"/>
      <c r="L162" s="159"/>
      <c r="M162" s="159"/>
      <c r="N162" s="159"/>
      <c r="O162" s="160"/>
      <c r="P162" s="147"/>
      <c r="Q162" s="3"/>
      <c r="R162" s="3"/>
    </row>
    <row r="163" spans="1:18" s="1" customFormat="1" ht="16.2" customHeight="1" x14ac:dyDescent="0.3">
      <c r="A163" s="82" t="s">
        <v>71</v>
      </c>
      <c r="B163" s="24">
        <v>2017</v>
      </c>
      <c r="C163" s="24">
        <v>92</v>
      </c>
      <c r="D163" s="28">
        <v>260</v>
      </c>
      <c r="E163" s="4">
        <v>1.6375</v>
      </c>
      <c r="F163" s="4">
        <v>4.9175000000000004</v>
      </c>
      <c r="G163" s="4">
        <v>6.2725</v>
      </c>
      <c r="H163" s="4">
        <v>81.5</v>
      </c>
      <c r="I163" s="4">
        <v>47.325000000000003</v>
      </c>
      <c r="J163" s="4">
        <v>20.425000000000001</v>
      </c>
      <c r="K163" s="4">
        <v>0.77500000000000002</v>
      </c>
      <c r="L163" s="4">
        <v>44.274999999999999</v>
      </c>
      <c r="M163" s="4">
        <v>2.5000000000000001E-2</v>
      </c>
      <c r="N163" s="4">
        <v>6.0750000000000002</v>
      </c>
      <c r="O163" s="5">
        <v>0</v>
      </c>
      <c r="P163" s="147"/>
      <c r="Q163" s="3"/>
      <c r="R163" s="3"/>
    </row>
    <row r="164" spans="1:18" s="1" customFormat="1" x14ac:dyDescent="0.3">
      <c r="A164" s="82" t="s">
        <v>17</v>
      </c>
      <c r="B164" s="24">
        <v>2017</v>
      </c>
      <c r="C164" s="24">
        <v>288</v>
      </c>
      <c r="D164" s="78">
        <v>10</v>
      </c>
      <c r="E164" s="4">
        <v>2.11</v>
      </c>
      <c r="F164" s="4">
        <v>1.36</v>
      </c>
      <c r="G164" s="4">
        <v>0</v>
      </c>
      <c r="H164" s="4">
        <v>20.67</v>
      </c>
      <c r="I164" s="4">
        <v>3.9</v>
      </c>
      <c r="J164" s="4">
        <v>2</v>
      </c>
      <c r="K164" s="4">
        <v>0.18</v>
      </c>
      <c r="L164" s="4">
        <v>14.3</v>
      </c>
      <c r="M164" s="4">
        <v>0.04</v>
      </c>
      <c r="N164" s="4">
        <v>0</v>
      </c>
      <c r="O164" s="5">
        <v>2.2799999999999998</v>
      </c>
      <c r="P164" s="147"/>
      <c r="Q164" s="3"/>
      <c r="R164" s="3"/>
    </row>
    <row r="165" spans="1:18" s="1" customFormat="1" ht="12.6" customHeight="1" x14ac:dyDescent="0.3">
      <c r="A165" s="97" t="s">
        <v>31</v>
      </c>
      <c r="B165" s="10">
        <v>2017</v>
      </c>
      <c r="C165" s="10" t="s">
        <v>86</v>
      </c>
      <c r="D165" s="11">
        <v>100</v>
      </c>
      <c r="E165" s="4">
        <v>13.58</v>
      </c>
      <c r="F165" s="4">
        <v>10.58</v>
      </c>
      <c r="G165" s="4">
        <f>11.66*100/90</f>
        <v>12.955555555555556</v>
      </c>
      <c r="H165" s="4">
        <v>198.12</v>
      </c>
      <c r="I165" s="4">
        <v>182.08888888888799</v>
      </c>
      <c r="J165" s="4">
        <v>20.855555555555554</v>
      </c>
      <c r="K165" s="4">
        <v>1.2</v>
      </c>
      <c r="L165" s="4">
        <v>47.988888888888887</v>
      </c>
      <c r="M165" s="4">
        <v>0.1111111111111111</v>
      </c>
      <c r="N165" s="4">
        <v>0.1111111111111111</v>
      </c>
      <c r="O165" s="5">
        <v>268.5</v>
      </c>
      <c r="P165" s="147"/>
      <c r="Q165" s="3"/>
      <c r="R165" s="3"/>
    </row>
    <row r="166" spans="1:18" s="1" customFormat="1" ht="14.4" customHeight="1" x14ac:dyDescent="0.3">
      <c r="A166" s="27" t="s">
        <v>51</v>
      </c>
      <c r="B166" s="11">
        <v>2017</v>
      </c>
      <c r="C166" s="11">
        <v>321</v>
      </c>
      <c r="D166" s="28">
        <v>200</v>
      </c>
      <c r="E166" s="4">
        <v>3.71</v>
      </c>
      <c r="F166" s="4">
        <f>6.48*200/150</f>
        <v>8.64</v>
      </c>
      <c r="G166" s="4">
        <f>34.52*200/150</f>
        <v>46.026666666666671</v>
      </c>
      <c r="H166" s="4">
        <v>265.2</v>
      </c>
      <c r="I166" s="4">
        <v>29.28</v>
      </c>
      <c r="J166" s="4">
        <v>58.653333333333336</v>
      </c>
      <c r="K166" s="4">
        <v>2.3066666666666666</v>
      </c>
      <c r="L166" s="4">
        <v>159.45333333333335</v>
      </c>
      <c r="M166" s="4">
        <v>0.30666666666666664</v>
      </c>
      <c r="N166" s="4">
        <v>42</v>
      </c>
      <c r="O166" s="5">
        <v>47.879999999999995</v>
      </c>
      <c r="P166" s="147"/>
      <c r="Q166" s="3"/>
      <c r="R166" s="3"/>
    </row>
    <row r="167" spans="1:18" s="1" customFormat="1" ht="14.4" customHeight="1" x14ac:dyDescent="0.3">
      <c r="A167" s="82" t="s">
        <v>20</v>
      </c>
      <c r="B167" s="10">
        <v>2017</v>
      </c>
      <c r="C167" s="10">
        <v>71</v>
      </c>
      <c r="D167" s="84">
        <v>60</v>
      </c>
      <c r="E167" s="15">
        <v>2.16</v>
      </c>
      <c r="F167" s="15">
        <v>4.04</v>
      </c>
      <c r="G167" s="15">
        <v>1.01</v>
      </c>
      <c r="H167" s="15">
        <v>48.79</v>
      </c>
      <c r="I167" s="15">
        <v>13.8</v>
      </c>
      <c r="J167" s="15">
        <v>7</v>
      </c>
      <c r="K167" s="15">
        <v>0.42</v>
      </c>
      <c r="L167" s="15">
        <v>12</v>
      </c>
      <c r="M167" s="15">
        <v>0</v>
      </c>
      <c r="N167" s="15">
        <v>14.4</v>
      </c>
      <c r="O167" s="16">
        <v>0</v>
      </c>
      <c r="P167" s="147"/>
      <c r="Q167" s="3"/>
      <c r="R167" s="3"/>
    </row>
    <row r="168" spans="1:18" s="1" customFormat="1" ht="14.4" customHeight="1" x14ac:dyDescent="0.3">
      <c r="A168" s="27" t="s">
        <v>53</v>
      </c>
      <c r="B168" s="11">
        <v>2017</v>
      </c>
      <c r="C168" s="11">
        <v>342</v>
      </c>
      <c r="D168" s="28">
        <v>200</v>
      </c>
      <c r="E168" s="4">
        <v>0.2</v>
      </c>
      <c r="F168" s="4">
        <v>0.2</v>
      </c>
      <c r="G168" s="4">
        <v>22.3</v>
      </c>
      <c r="H168" s="4">
        <v>110</v>
      </c>
      <c r="I168" s="4">
        <v>12</v>
      </c>
      <c r="J168" s="4">
        <v>0</v>
      </c>
      <c r="K168" s="4">
        <v>0.8</v>
      </c>
      <c r="L168" s="4">
        <v>2.4</v>
      </c>
      <c r="M168" s="4">
        <v>0.02</v>
      </c>
      <c r="N168" s="4">
        <v>0</v>
      </c>
      <c r="O168" s="5">
        <v>0</v>
      </c>
      <c r="P168" s="147"/>
      <c r="Q168" s="3"/>
      <c r="R168" s="3"/>
    </row>
    <row r="169" spans="1:18" s="1" customFormat="1" x14ac:dyDescent="0.3">
      <c r="A169" s="82" t="s">
        <v>21</v>
      </c>
      <c r="B169" s="24" t="s">
        <v>78</v>
      </c>
      <c r="C169" s="24" t="s">
        <v>78</v>
      </c>
      <c r="D169" s="78">
        <v>20</v>
      </c>
      <c r="E169" s="4">
        <v>1.58</v>
      </c>
      <c r="F169" s="4">
        <v>0.2</v>
      </c>
      <c r="G169" s="4">
        <v>9.66</v>
      </c>
      <c r="H169" s="4">
        <v>46.76</v>
      </c>
      <c r="I169" s="4">
        <v>4.5999999999999996</v>
      </c>
      <c r="J169" s="4">
        <v>6.6</v>
      </c>
      <c r="K169" s="4">
        <v>0.22</v>
      </c>
      <c r="L169" s="4">
        <v>17.399999999999999</v>
      </c>
      <c r="M169" s="4">
        <v>0.08</v>
      </c>
      <c r="N169" s="4">
        <v>0</v>
      </c>
      <c r="O169" s="5">
        <v>0</v>
      </c>
      <c r="P169" s="147"/>
      <c r="Q169" s="3"/>
      <c r="R169" s="3"/>
    </row>
    <row r="170" spans="1:18" s="1" customFormat="1" x14ac:dyDescent="0.3">
      <c r="A170" s="13" t="s">
        <v>22</v>
      </c>
      <c r="B170" s="24" t="s">
        <v>78</v>
      </c>
      <c r="C170" s="24" t="s">
        <v>78</v>
      </c>
      <c r="D170" s="88">
        <v>40</v>
      </c>
      <c r="E170" s="4">
        <v>2.2400000000000002</v>
      </c>
      <c r="F170" s="4">
        <v>0.44</v>
      </c>
      <c r="G170" s="4">
        <v>19.760000000000002</v>
      </c>
      <c r="H170" s="4">
        <v>91.96</v>
      </c>
      <c r="I170" s="4">
        <v>9.1999999999999993</v>
      </c>
      <c r="J170" s="4">
        <v>10</v>
      </c>
      <c r="K170" s="4">
        <v>1.24</v>
      </c>
      <c r="L170" s="4">
        <v>42.4</v>
      </c>
      <c r="M170" s="4">
        <v>0.04</v>
      </c>
      <c r="N170" s="4">
        <v>0</v>
      </c>
      <c r="O170" s="5">
        <v>0</v>
      </c>
      <c r="P170" s="147"/>
      <c r="Q170" s="3"/>
      <c r="R170" s="3"/>
    </row>
    <row r="171" spans="1:18" x14ac:dyDescent="0.3">
      <c r="A171" s="123" t="s">
        <v>16</v>
      </c>
      <c r="B171" s="26"/>
      <c r="C171" s="26"/>
      <c r="D171" s="11">
        <f t="shared" ref="D171:O171" si="21">SUM(D163:D170)</f>
        <v>890</v>
      </c>
      <c r="E171" s="4">
        <f t="shared" si="21"/>
        <v>27.217500000000001</v>
      </c>
      <c r="F171" s="4">
        <f>SUM(F163:F170)</f>
        <v>30.377500000000001</v>
      </c>
      <c r="G171" s="4">
        <f>SUM(G163:G170)</f>
        <v>117.98472222222223</v>
      </c>
      <c r="H171" s="4">
        <f t="shared" si="21"/>
        <v>863</v>
      </c>
      <c r="I171" s="4">
        <f t="shared" si="21"/>
        <v>302.19388888888801</v>
      </c>
      <c r="J171" s="4">
        <f t="shared" si="21"/>
        <v>125.53388888888888</v>
      </c>
      <c r="K171" s="4">
        <f t="shared" si="21"/>
        <v>7.1416666666666666</v>
      </c>
      <c r="L171" s="4">
        <f t="shared" si="21"/>
        <v>340.21722222222218</v>
      </c>
      <c r="M171" s="4">
        <f t="shared" si="21"/>
        <v>0.62277777777777776</v>
      </c>
      <c r="N171" s="4">
        <f t="shared" si="21"/>
        <v>62.586111111111109</v>
      </c>
      <c r="O171" s="5">
        <f t="shared" si="21"/>
        <v>318.65999999999997</v>
      </c>
      <c r="P171" s="147"/>
      <c r="Q171" s="9"/>
      <c r="R171" s="9"/>
    </row>
    <row r="172" spans="1:18" s="62" customFormat="1" x14ac:dyDescent="0.3">
      <c r="A172" s="94" t="s">
        <v>24</v>
      </c>
      <c r="B172" s="102"/>
      <c r="C172" s="102"/>
      <c r="D172" s="95">
        <f t="shared" ref="D172:O172" si="22">D171+D161</f>
        <v>1445</v>
      </c>
      <c r="E172" s="95">
        <f>E171+E161</f>
        <v>49.707499999999996</v>
      </c>
      <c r="F172" s="95">
        <f>F171+F161</f>
        <v>53.337500000000006</v>
      </c>
      <c r="G172" s="95">
        <f>G171+G161</f>
        <v>209.96472222222224</v>
      </c>
      <c r="H172" s="95">
        <f>H171+H161</f>
        <v>1519.84</v>
      </c>
      <c r="I172" s="95">
        <f t="shared" si="22"/>
        <v>811.28769841269741</v>
      </c>
      <c r="J172" s="95">
        <f t="shared" si="22"/>
        <v>259.5886507936508</v>
      </c>
      <c r="K172" s="95">
        <f t="shared" si="22"/>
        <v>10.959285714285715</v>
      </c>
      <c r="L172" s="95">
        <f t="shared" si="22"/>
        <v>649.38960317460317</v>
      </c>
      <c r="M172" s="95">
        <f t="shared" si="22"/>
        <v>1.0703968253968255</v>
      </c>
      <c r="N172" s="95">
        <f t="shared" si="22"/>
        <v>64.522301587301584</v>
      </c>
      <c r="O172" s="120">
        <f t="shared" si="22"/>
        <v>401.19714285714281</v>
      </c>
      <c r="P172" s="147"/>
      <c r="Q172" s="61"/>
      <c r="R172" s="61"/>
    </row>
    <row r="173" spans="1:18" s="62" customFormat="1" ht="12" customHeight="1" x14ac:dyDescent="0.3">
      <c r="A173" s="167" t="s">
        <v>75</v>
      </c>
      <c r="B173" s="167"/>
      <c r="C173" s="167"/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45" t="s">
        <v>75</v>
      </c>
      <c r="Q173" s="61"/>
      <c r="R173" s="61"/>
    </row>
    <row r="174" spans="1:18" s="62" customFormat="1" ht="12" customHeight="1" x14ac:dyDescent="0.3">
      <c r="A174" s="174" t="s">
        <v>91</v>
      </c>
      <c r="B174" s="159"/>
      <c r="C174" s="159"/>
      <c r="D174" s="159"/>
      <c r="E174" s="159"/>
      <c r="F174" s="159"/>
      <c r="G174" s="159"/>
      <c r="H174" s="159"/>
      <c r="I174" s="159"/>
      <c r="J174" s="159"/>
      <c r="K174" s="159"/>
      <c r="L174" s="159"/>
      <c r="M174" s="159"/>
      <c r="N174" s="159"/>
      <c r="O174" s="160"/>
      <c r="P174" s="142"/>
      <c r="Q174" s="61"/>
      <c r="R174" s="61"/>
    </row>
    <row r="175" spans="1:18" s="62" customFormat="1" ht="25.2" customHeight="1" x14ac:dyDescent="0.3">
      <c r="A175" s="13" t="s">
        <v>41</v>
      </c>
      <c r="B175" s="10">
        <v>2017</v>
      </c>
      <c r="C175" s="11">
        <v>183</v>
      </c>
      <c r="D175" s="11">
        <v>260</v>
      </c>
      <c r="E175" s="4">
        <v>9.83</v>
      </c>
      <c r="F175" s="4">
        <f>11.58*250/200</f>
        <v>14.475</v>
      </c>
      <c r="G175" s="4">
        <f>7.86*250/200</f>
        <v>9.8249999999999993</v>
      </c>
      <c r="H175" s="4">
        <v>206.44</v>
      </c>
      <c r="I175" s="4">
        <v>239.81904761904761</v>
      </c>
      <c r="J175" s="4">
        <v>53.361904761904761</v>
      </c>
      <c r="K175" s="4">
        <v>1.6342857142857143</v>
      </c>
      <c r="L175" s="4">
        <v>182.86666666666667</v>
      </c>
      <c r="M175" s="4">
        <v>0.18571428571428572</v>
      </c>
      <c r="N175" s="4">
        <v>0</v>
      </c>
      <c r="O175" s="4">
        <v>28.228571428571428</v>
      </c>
      <c r="P175" s="142"/>
      <c r="Q175" s="61"/>
      <c r="R175" s="61"/>
    </row>
    <row r="176" spans="1:18" ht="16.2" customHeight="1" x14ac:dyDescent="0.3">
      <c r="A176" s="90" t="s">
        <v>13</v>
      </c>
      <c r="B176" s="24" t="s">
        <v>78</v>
      </c>
      <c r="C176" s="24" t="s">
        <v>78</v>
      </c>
      <c r="D176" s="12">
        <v>60</v>
      </c>
      <c r="E176" s="4">
        <v>4.74</v>
      </c>
      <c r="F176" s="4">
        <v>0.6</v>
      </c>
      <c r="G176" s="4">
        <v>28.98</v>
      </c>
      <c r="H176" s="4">
        <v>140.28</v>
      </c>
      <c r="I176" s="4">
        <v>13.8</v>
      </c>
      <c r="J176" s="4">
        <v>19.8</v>
      </c>
      <c r="K176" s="4">
        <v>0.66</v>
      </c>
      <c r="L176" s="4">
        <v>52.2</v>
      </c>
      <c r="M176" s="4">
        <v>0.1</v>
      </c>
      <c r="N176" s="4">
        <v>0</v>
      </c>
      <c r="O176" s="5">
        <v>0</v>
      </c>
      <c r="P176" s="142"/>
      <c r="Q176" s="9"/>
      <c r="R176" s="9"/>
    </row>
    <row r="177" spans="1:18" x14ac:dyDescent="0.3">
      <c r="A177" s="29" t="s">
        <v>49</v>
      </c>
      <c r="B177" s="12">
        <v>2017</v>
      </c>
      <c r="C177" s="122">
        <v>382</v>
      </c>
      <c r="D177" s="12">
        <v>200</v>
      </c>
      <c r="E177" s="4">
        <v>3.52</v>
      </c>
      <c r="F177" s="4">
        <v>3.72</v>
      </c>
      <c r="G177" s="4">
        <v>25.49</v>
      </c>
      <c r="H177" s="4">
        <v>145.19999999999999</v>
      </c>
      <c r="I177" s="4">
        <v>122</v>
      </c>
      <c r="J177" s="4">
        <v>14</v>
      </c>
      <c r="K177" s="4">
        <v>0.56000000000000005</v>
      </c>
      <c r="L177" s="4">
        <v>39</v>
      </c>
      <c r="M177" s="4">
        <v>0.04</v>
      </c>
      <c r="N177" s="4">
        <v>1.3</v>
      </c>
      <c r="O177" s="5">
        <v>1.1399999999999999E-2</v>
      </c>
      <c r="P177" s="142"/>
      <c r="Q177" s="9"/>
      <c r="R177" s="9"/>
    </row>
    <row r="178" spans="1:18" x14ac:dyDescent="0.3">
      <c r="A178" s="23" t="s">
        <v>29</v>
      </c>
      <c r="B178" s="24" t="s">
        <v>78</v>
      </c>
      <c r="C178" s="24" t="s">
        <v>78</v>
      </c>
      <c r="D178" s="24">
        <v>30</v>
      </c>
      <c r="E178" s="11">
        <v>0.15</v>
      </c>
      <c r="F178" s="11">
        <v>0</v>
      </c>
      <c r="G178" s="11">
        <v>21.48</v>
      </c>
      <c r="H178" s="11">
        <v>86.52000000000001</v>
      </c>
      <c r="I178" s="11">
        <v>3.6</v>
      </c>
      <c r="J178" s="11">
        <v>2.7</v>
      </c>
      <c r="K178" s="11">
        <v>0.12</v>
      </c>
      <c r="L178" s="11">
        <v>5.4</v>
      </c>
      <c r="M178" s="11">
        <v>0</v>
      </c>
      <c r="N178" s="11">
        <v>0.72</v>
      </c>
      <c r="O178" s="14">
        <v>0</v>
      </c>
      <c r="P178" s="142"/>
      <c r="Q178" s="9"/>
      <c r="R178" s="9"/>
    </row>
    <row r="179" spans="1:18" x14ac:dyDescent="0.3">
      <c r="A179" s="13" t="s">
        <v>16</v>
      </c>
      <c r="B179" s="10"/>
      <c r="C179" s="10"/>
      <c r="D179" s="12">
        <f t="shared" ref="D179" si="23">SUM(D175:D178)</f>
        <v>550</v>
      </c>
      <c r="E179" s="4">
        <f>SUM(E175:E178)</f>
        <v>18.239999999999998</v>
      </c>
      <c r="F179" s="4">
        <f>SUM(F175:F178)</f>
        <v>18.794999999999998</v>
      </c>
      <c r="G179" s="4">
        <f>SUM(G175:G178)</f>
        <v>85.775000000000006</v>
      </c>
      <c r="H179" s="4">
        <f>SUM(H175:H178)</f>
        <v>578.44000000000005</v>
      </c>
      <c r="I179" s="4">
        <f t="shared" ref="I179:O179" si="24">SUM(I175:I178)</f>
        <v>379.21904761904761</v>
      </c>
      <c r="J179" s="4">
        <f t="shared" si="24"/>
        <v>89.861904761904768</v>
      </c>
      <c r="K179" s="4">
        <f t="shared" si="24"/>
        <v>2.9742857142857146</v>
      </c>
      <c r="L179" s="4">
        <f t="shared" si="24"/>
        <v>279.46666666666664</v>
      </c>
      <c r="M179" s="4">
        <f t="shared" si="24"/>
        <v>0.32571428571428568</v>
      </c>
      <c r="N179" s="4">
        <f t="shared" si="24"/>
        <v>2.02</v>
      </c>
      <c r="O179" s="5">
        <f t="shared" si="24"/>
        <v>28.239971428571426</v>
      </c>
      <c r="P179" s="142"/>
      <c r="Q179" s="9"/>
      <c r="R179" s="9"/>
    </row>
    <row r="180" spans="1:18" x14ac:dyDescent="0.3">
      <c r="A180" s="159" t="s">
        <v>89</v>
      </c>
      <c r="B180" s="159"/>
      <c r="C180" s="159"/>
      <c r="D180" s="159"/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60"/>
      <c r="P180" s="142"/>
      <c r="Q180" s="9"/>
      <c r="R180" s="9"/>
    </row>
    <row r="181" spans="1:18" ht="14.4" customHeight="1" x14ac:dyDescent="0.3">
      <c r="A181" s="27" t="s">
        <v>67</v>
      </c>
      <c r="B181" s="24">
        <v>2017</v>
      </c>
      <c r="C181" s="24">
        <v>97</v>
      </c>
      <c r="D181" s="85">
        <v>250</v>
      </c>
      <c r="E181" s="21">
        <v>2.3374999999999999</v>
      </c>
      <c r="F181" s="21">
        <v>2.8250000000000002</v>
      </c>
      <c r="G181" s="21">
        <v>16.637499999999999</v>
      </c>
      <c r="H181" s="21">
        <v>101.25</v>
      </c>
      <c r="I181" s="21">
        <v>25.85</v>
      </c>
      <c r="J181" s="21">
        <v>31.125</v>
      </c>
      <c r="K181" s="86">
        <v>1.175</v>
      </c>
      <c r="L181" s="11">
        <v>76.8</v>
      </c>
      <c r="M181" s="21">
        <v>0.11</v>
      </c>
      <c r="N181" s="21">
        <v>2</v>
      </c>
      <c r="O181" s="21">
        <v>0</v>
      </c>
      <c r="P181" s="142"/>
      <c r="Q181" s="9"/>
      <c r="R181" s="9"/>
    </row>
    <row r="182" spans="1:18" ht="14.4" customHeight="1" x14ac:dyDescent="0.3">
      <c r="A182" s="13" t="s">
        <v>17</v>
      </c>
      <c r="B182" s="10">
        <v>2017</v>
      </c>
      <c r="C182" s="10">
        <v>228</v>
      </c>
      <c r="D182" s="24">
        <v>10</v>
      </c>
      <c r="E182" s="4">
        <v>2.11</v>
      </c>
      <c r="F182" s="4">
        <v>1.36</v>
      </c>
      <c r="G182" s="4">
        <v>0</v>
      </c>
      <c r="H182" s="4">
        <v>20.67</v>
      </c>
      <c r="I182" s="4">
        <v>3.9</v>
      </c>
      <c r="J182" s="4">
        <v>2</v>
      </c>
      <c r="K182" s="4">
        <v>0.18</v>
      </c>
      <c r="L182" s="4">
        <v>14.3</v>
      </c>
      <c r="M182" s="4">
        <v>0.04</v>
      </c>
      <c r="N182" s="4">
        <v>0</v>
      </c>
      <c r="O182" s="5">
        <v>2.2799999999999998</v>
      </c>
      <c r="P182" s="142"/>
      <c r="Q182" s="9"/>
      <c r="R182" s="9"/>
    </row>
    <row r="183" spans="1:18" ht="14.4" customHeight="1" x14ac:dyDescent="0.3">
      <c r="A183" s="13" t="s">
        <v>44</v>
      </c>
      <c r="B183" s="24">
        <v>2017</v>
      </c>
      <c r="C183" s="10" t="s">
        <v>87</v>
      </c>
      <c r="D183" s="11">
        <v>100</v>
      </c>
      <c r="E183" s="4">
        <f>11.99*100/90</f>
        <v>13.322222222222223</v>
      </c>
      <c r="F183" s="4">
        <v>12.06</v>
      </c>
      <c r="G183" s="4">
        <f>8.67*100/90</f>
        <v>9.6333333333333329</v>
      </c>
      <c r="H183" s="4">
        <v>209.9</v>
      </c>
      <c r="I183" s="4">
        <v>208.11111111111111</v>
      </c>
      <c r="J183" s="4">
        <v>23.444444444444443</v>
      </c>
      <c r="K183" s="4">
        <v>0.65555555555555556</v>
      </c>
      <c r="L183" s="4">
        <v>86.333333333333329</v>
      </c>
      <c r="M183" s="4">
        <v>6.6666666666666666E-2</v>
      </c>
      <c r="N183" s="4">
        <v>0.91111111111111109</v>
      </c>
      <c r="O183" s="5">
        <v>329.05555555555554</v>
      </c>
      <c r="P183" s="142"/>
      <c r="Q183" s="9"/>
      <c r="R183" s="9"/>
    </row>
    <row r="184" spans="1:18" ht="14.4" customHeight="1" x14ac:dyDescent="0.3">
      <c r="A184" s="90" t="s">
        <v>28</v>
      </c>
      <c r="B184" s="11">
        <v>2017</v>
      </c>
      <c r="C184" s="11">
        <v>304</v>
      </c>
      <c r="D184" s="11">
        <v>200</v>
      </c>
      <c r="E184" s="4">
        <f>3.67*200/150</f>
        <v>4.8933333333333335</v>
      </c>
      <c r="F184" s="4">
        <v>6.23</v>
      </c>
      <c r="G184" s="4">
        <v>44.89</v>
      </c>
      <c r="H184" s="4">
        <v>267.95999999999998</v>
      </c>
      <c r="I184" s="4">
        <v>26.36</v>
      </c>
      <c r="J184" s="4">
        <v>17.48</v>
      </c>
      <c r="K184" s="4">
        <v>0</v>
      </c>
      <c r="L184" s="4">
        <v>22</v>
      </c>
      <c r="M184" s="4">
        <v>0.06</v>
      </c>
      <c r="N184" s="4">
        <v>0</v>
      </c>
      <c r="O184" s="5">
        <v>0.2</v>
      </c>
      <c r="P184" s="142"/>
      <c r="Q184" s="9"/>
      <c r="R184" s="9"/>
    </row>
    <row r="185" spans="1:18" ht="14.4" customHeight="1" x14ac:dyDescent="0.3">
      <c r="A185" s="13" t="s">
        <v>46</v>
      </c>
      <c r="B185" s="10">
        <v>2017</v>
      </c>
      <c r="C185" s="10">
        <v>47</v>
      </c>
      <c r="D185" s="24">
        <v>100</v>
      </c>
      <c r="E185" s="4">
        <v>1.7166666666666666</v>
      </c>
      <c r="F185" s="4">
        <v>5.0166666666666666</v>
      </c>
      <c r="G185" s="4">
        <v>8.4999999999999982</v>
      </c>
      <c r="H185" s="4">
        <v>86.033333333333331</v>
      </c>
      <c r="I185" s="4">
        <v>52.45</v>
      </c>
      <c r="J185" s="4">
        <v>16.083333333333332</v>
      </c>
      <c r="K185" s="4">
        <v>0.66666666666666663</v>
      </c>
      <c r="L185" s="4">
        <v>34.083333333333336</v>
      </c>
      <c r="M185" s="4">
        <v>1.6666666666666666E-2</v>
      </c>
      <c r="N185" s="4">
        <v>19.883333333333333</v>
      </c>
      <c r="O185" s="5">
        <v>0</v>
      </c>
      <c r="P185" s="142"/>
      <c r="Q185" s="9"/>
      <c r="R185" s="9"/>
    </row>
    <row r="186" spans="1:18" ht="14.4" customHeight="1" x14ac:dyDescent="0.3">
      <c r="A186" s="13" t="s">
        <v>26</v>
      </c>
      <c r="B186" s="10">
        <v>2017</v>
      </c>
      <c r="C186" s="10">
        <v>377</v>
      </c>
      <c r="D186" s="11">
        <v>200</v>
      </c>
      <c r="E186" s="11">
        <v>0.13</v>
      </c>
      <c r="F186" s="11">
        <v>0.02</v>
      </c>
      <c r="G186" s="11">
        <v>10.25</v>
      </c>
      <c r="H186" s="11">
        <v>41.68</v>
      </c>
      <c r="I186" s="11">
        <v>14.05</v>
      </c>
      <c r="J186" s="11">
        <v>2.4</v>
      </c>
      <c r="K186" s="11">
        <v>0.38</v>
      </c>
      <c r="L186" s="11">
        <v>4.4000000000000004</v>
      </c>
      <c r="M186" s="11">
        <v>0</v>
      </c>
      <c r="N186" s="11">
        <v>2.83</v>
      </c>
      <c r="O186" s="14">
        <v>0</v>
      </c>
      <c r="P186" s="142"/>
      <c r="Q186" s="9"/>
      <c r="R186" s="9"/>
    </row>
    <row r="187" spans="1:18" ht="14.4" customHeight="1" x14ac:dyDescent="0.3">
      <c r="A187" s="13" t="s">
        <v>21</v>
      </c>
      <c r="B187" s="10" t="s">
        <v>78</v>
      </c>
      <c r="C187" s="10" t="s">
        <v>78</v>
      </c>
      <c r="D187" s="24">
        <v>20</v>
      </c>
      <c r="E187" s="4">
        <v>1.58</v>
      </c>
      <c r="F187" s="4">
        <v>0.2</v>
      </c>
      <c r="G187" s="4">
        <v>9.66</v>
      </c>
      <c r="H187" s="4">
        <v>46.76</v>
      </c>
      <c r="I187" s="4">
        <v>4.5999999999999996</v>
      </c>
      <c r="J187" s="4">
        <v>6.6</v>
      </c>
      <c r="K187" s="4">
        <v>0.22</v>
      </c>
      <c r="L187" s="4">
        <v>17.399999999999999</v>
      </c>
      <c r="M187" s="4">
        <v>0.08</v>
      </c>
      <c r="N187" s="4">
        <v>0</v>
      </c>
      <c r="O187" s="5">
        <v>0</v>
      </c>
      <c r="P187" s="142"/>
      <c r="Q187" s="9"/>
      <c r="R187" s="9"/>
    </row>
    <row r="188" spans="1:18" ht="14.4" customHeight="1" x14ac:dyDescent="0.3">
      <c r="A188" s="13" t="s">
        <v>22</v>
      </c>
      <c r="B188" s="10" t="s">
        <v>78</v>
      </c>
      <c r="C188" s="10" t="s">
        <v>78</v>
      </c>
      <c r="D188" s="10">
        <v>40</v>
      </c>
      <c r="E188" s="4">
        <v>2.2400000000000002</v>
      </c>
      <c r="F188" s="4">
        <v>0.44</v>
      </c>
      <c r="G188" s="4">
        <v>19.760000000000002</v>
      </c>
      <c r="H188" s="4">
        <v>91.96</v>
      </c>
      <c r="I188" s="4">
        <v>9.1999999999999993</v>
      </c>
      <c r="J188" s="4">
        <v>10</v>
      </c>
      <c r="K188" s="4">
        <v>1.24</v>
      </c>
      <c r="L188" s="4">
        <v>42.4</v>
      </c>
      <c r="M188" s="4">
        <v>0.04</v>
      </c>
      <c r="N188" s="4">
        <v>0</v>
      </c>
      <c r="O188" s="5">
        <v>0</v>
      </c>
      <c r="P188" s="142"/>
      <c r="Q188" s="9"/>
      <c r="R188" s="9"/>
    </row>
    <row r="189" spans="1:18" ht="14.4" customHeight="1" x14ac:dyDescent="0.3">
      <c r="A189" s="123" t="s">
        <v>16</v>
      </c>
      <c r="B189" s="26"/>
      <c r="C189" s="26"/>
      <c r="D189" s="11">
        <v>880</v>
      </c>
      <c r="E189" s="4">
        <f>SUM(E181:E188)</f>
        <v>28.329722222222223</v>
      </c>
      <c r="F189" s="4">
        <f>SUM(F181:F188)</f>
        <v>28.151666666666667</v>
      </c>
      <c r="G189" s="4">
        <f>SUM(G181:G188)</f>
        <v>119.33083333333333</v>
      </c>
      <c r="H189" s="4">
        <f>SUM(H181:H188)</f>
        <v>866.21333333333325</v>
      </c>
      <c r="I189" s="4">
        <f t="shared" ref="I189:O189" si="25">SUM(I181:I188)</f>
        <v>344.52111111111111</v>
      </c>
      <c r="J189" s="4">
        <f t="shared" si="25"/>
        <v>109.13277777777778</v>
      </c>
      <c r="K189" s="4">
        <f t="shared" si="25"/>
        <v>4.5172222222222222</v>
      </c>
      <c r="L189" s="4">
        <f t="shared" si="25"/>
        <v>297.7166666666667</v>
      </c>
      <c r="M189" s="4">
        <f t="shared" si="25"/>
        <v>0.41333333333333333</v>
      </c>
      <c r="N189" s="4">
        <f t="shared" si="25"/>
        <v>25.624444444444443</v>
      </c>
      <c r="O189" s="5">
        <f t="shared" si="25"/>
        <v>331.5355555555555</v>
      </c>
      <c r="P189" s="142"/>
      <c r="Q189" s="9"/>
      <c r="R189" s="9"/>
    </row>
    <row r="190" spans="1:18" s="62" customFormat="1" ht="14.4" customHeight="1" x14ac:dyDescent="0.3">
      <c r="A190" s="94" t="s">
        <v>24</v>
      </c>
      <c r="B190" s="102"/>
      <c r="C190" s="102"/>
      <c r="D190" s="121">
        <f t="shared" ref="D190:L190" si="26">D189+D179</f>
        <v>1430</v>
      </c>
      <c r="E190" s="95">
        <f t="shared" si="26"/>
        <v>46.569722222222225</v>
      </c>
      <c r="F190" s="95">
        <f t="shared" si="26"/>
        <v>46.946666666666665</v>
      </c>
      <c r="G190" s="95">
        <f t="shared" si="26"/>
        <v>205.10583333333335</v>
      </c>
      <c r="H190" s="95">
        <f t="shared" si="26"/>
        <v>1444.6533333333332</v>
      </c>
      <c r="I190" s="95">
        <f t="shared" si="26"/>
        <v>723.74015873015878</v>
      </c>
      <c r="J190" s="95">
        <f t="shared" si="26"/>
        <v>198.99468253968254</v>
      </c>
      <c r="K190" s="95">
        <f t="shared" si="26"/>
        <v>7.4915079365079364</v>
      </c>
      <c r="L190" s="95">
        <f t="shared" si="26"/>
        <v>577.18333333333339</v>
      </c>
      <c r="M190" s="95">
        <f t="shared" ref="M190" si="27">M189+M179</f>
        <v>0.73904761904761895</v>
      </c>
      <c r="N190" s="95">
        <f>N189+N179</f>
        <v>27.644444444444442</v>
      </c>
      <c r="O190" s="120">
        <f>O189+O179</f>
        <v>359.77552698412694</v>
      </c>
      <c r="P190" s="143"/>
      <c r="Q190" s="61"/>
      <c r="R190" s="61"/>
    </row>
  </sheetData>
  <mergeCells count="56">
    <mergeCell ref="A173:O173"/>
    <mergeCell ref="P173:P190"/>
    <mergeCell ref="A174:O174"/>
    <mergeCell ref="A180:O180"/>
    <mergeCell ref="A136:O136"/>
    <mergeCell ref="A154:O154"/>
    <mergeCell ref="A137:O137"/>
    <mergeCell ref="A143:O143"/>
    <mergeCell ref="A119:O119"/>
    <mergeCell ref="A155:O155"/>
    <mergeCell ref="P155:P172"/>
    <mergeCell ref="A13:O13"/>
    <mergeCell ref="A20:O20"/>
    <mergeCell ref="A32:O32"/>
    <mergeCell ref="A38:O38"/>
    <mergeCell ref="A50:O50"/>
    <mergeCell ref="A49:O49"/>
    <mergeCell ref="P33:P48"/>
    <mergeCell ref="P51:P65"/>
    <mergeCell ref="A31:O31"/>
    <mergeCell ref="A56:O56"/>
    <mergeCell ref="A67:O67"/>
    <mergeCell ref="A66:O66"/>
    <mergeCell ref="A120:O120"/>
    <mergeCell ref="A1:C1"/>
    <mergeCell ref="I1:P1"/>
    <mergeCell ref="A2:C2"/>
    <mergeCell ref="I2:P2"/>
    <mergeCell ref="A3:C3"/>
    <mergeCell ref="I3:P3"/>
    <mergeCell ref="A4:C4"/>
    <mergeCell ref="I4:P4"/>
    <mergeCell ref="A6:P9"/>
    <mergeCell ref="A10:A11"/>
    <mergeCell ref="B10:B11"/>
    <mergeCell ref="C10:C11"/>
    <mergeCell ref="D10:D11"/>
    <mergeCell ref="E10:H10"/>
    <mergeCell ref="I10:L10"/>
    <mergeCell ref="M10:O10"/>
    <mergeCell ref="P12:P30"/>
    <mergeCell ref="A12:O12"/>
    <mergeCell ref="A162:O162"/>
    <mergeCell ref="P121:P135"/>
    <mergeCell ref="P104:P118"/>
    <mergeCell ref="A109:O109"/>
    <mergeCell ref="A126:O126"/>
    <mergeCell ref="P137:P153"/>
    <mergeCell ref="P68:P83"/>
    <mergeCell ref="P86:P101"/>
    <mergeCell ref="A103:O103"/>
    <mergeCell ref="A84:O84"/>
    <mergeCell ref="A102:O102"/>
    <mergeCell ref="A85:O85"/>
    <mergeCell ref="A73:O73"/>
    <mergeCell ref="A91:O91"/>
  </mergeCells>
  <pageMargins left="0.51181102362204722" right="0.31496062992125984" top="0.27559055118110237" bottom="0.27559055118110237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7-11</vt:lpstr>
      <vt:lpstr>12-18</vt:lpstr>
      <vt:lpstr>'12-18'!Область_печати</vt:lpstr>
      <vt:lpstr>'7-11'!Область_печати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2023-10-03T17:52:38Z</dcterms:modified>
</cp:coreProperties>
</file>